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505"/>
  <workbookPr autoCompressPictures="0"/>
  <mc:AlternateContent xmlns:mc="http://schemas.openxmlformats.org/markup-compatibility/2006">
    <mc:Choice Requires="x15">
      <x15ac:absPath xmlns:x15ac="http://schemas.microsoft.com/office/spreadsheetml/2010/11/ac" url="/Users/jbleck/Dropbox/Book Project With Nic/FinalCopyEdits/DataAppendix/FinalVersion/For Publisher/"/>
    </mc:Choice>
  </mc:AlternateContent>
  <bookViews>
    <workbookView xWindow="0" yWindow="460" windowWidth="25600" windowHeight="14340" tabRatio="399" firstSheet="1" activeTab="1"/>
  </bookViews>
  <sheets>
    <sheet name="Sheet1" sheetId="2" r:id="rId1"/>
    <sheet name="vdw3a" sheetId="1" r:id="rId2"/>
  </sheets>
  <definedNames>
    <definedName name="_xlnm.Print_Area" localSheetId="1">vdw3a!$B$1:$K$256</definedName>
    <definedName name="SPSS">vdw3a!$B$4:$I$244</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35" i="1" l="1"/>
  <c r="F45" i="1"/>
  <c r="F59" i="1"/>
  <c r="F60" i="1"/>
  <c r="F11" i="1"/>
  <c r="F18" i="1"/>
  <c r="F22" i="1"/>
  <c r="F23" i="1"/>
  <c r="F27" i="1"/>
  <c r="F28" i="1"/>
  <c r="F41" i="1"/>
  <c r="F54" i="1"/>
  <c r="F58" i="1"/>
  <c r="F61" i="1"/>
  <c r="F62" i="1"/>
  <c r="F63" i="1"/>
  <c r="F64" i="1"/>
  <c r="F65" i="1"/>
  <c r="F83" i="1"/>
  <c r="F85" i="1"/>
  <c r="F91" i="1"/>
  <c r="F96" i="1"/>
  <c r="F100" i="1"/>
  <c r="F101" i="1"/>
  <c r="F120" i="1"/>
  <c r="F142" i="1"/>
  <c r="F148" i="1"/>
  <c r="F150" i="1"/>
  <c r="F160" i="1"/>
  <c r="F166" i="1"/>
  <c r="F173" i="1"/>
  <c r="F187" i="1"/>
  <c r="F193" i="1"/>
  <c r="F194" i="1"/>
  <c r="F199" i="1"/>
  <c r="F204" i="1"/>
  <c r="F213" i="1"/>
  <c r="F226" i="1"/>
  <c r="F227" i="1"/>
  <c r="F242" i="1"/>
  <c r="F243" i="1"/>
  <c r="F247" i="1"/>
  <c r="F248" i="1"/>
  <c r="F249" i="1"/>
  <c r="F250" i="1"/>
  <c r="G191" i="1"/>
  <c r="I187" i="1"/>
  <c r="I150" i="1"/>
  <c r="I232" i="1"/>
  <c r="G232" i="1"/>
  <c r="J243" i="1"/>
  <c r="G243" i="1"/>
  <c r="I243" i="1"/>
  <c r="J249" i="1"/>
  <c r="G249" i="1"/>
  <c r="I250" i="1"/>
  <c r="I249" i="1"/>
  <c r="I28" i="1"/>
  <c r="I63" i="1"/>
  <c r="I65" i="1"/>
  <c r="I62" i="1"/>
  <c r="I61" i="1"/>
  <c r="I60" i="1"/>
  <c r="I59" i="1"/>
  <c r="I58" i="1"/>
  <c r="I42" i="1"/>
  <c r="I18" i="1"/>
  <c r="G18" i="1"/>
  <c r="J18" i="1"/>
  <c r="I6" i="1"/>
  <c r="J194" i="1"/>
  <c r="I194" i="1"/>
  <c r="I173" i="1"/>
  <c r="I172" i="1"/>
  <c r="I158" i="1"/>
  <c r="I101" i="1"/>
  <c r="I89" i="1"/>
  <c r="I88" i="1"/>
  <c r="I85" i="1"/>
  <c r="I76" i="1"/>
  <c r="I75" i="1"/>
  <c r="I68" i="1"/>
  <c r="I67" i="1"/>
  <c r="I66" i="1"/>
  <c r="I57" i="1"/>
  <c r="I54" i="1"/>
  <c r="I49" i="1"/>
  <c r="I48" i="1"/>
  <c r="I45" i="1"/>
  <c r="I44" i="1"/>
  <c r="I43" i="1"/>
  <c r="I41" i="1"/>
  <c r="I40" i="1"/>
  <c r="I39" i="1"/>
  <c r="I38" i="1"/>
  <c r="I35" i="1"/>
  <c r="I34" i="1"/>
  <c r="I33" i="1"/>
  <c r="I27" i="1"/>
  <c r="I26" i="1"/>
  <c r="I22" i="1"/>
  <c r="I23" i="1"/>
  <c r="I21" i="1"/>
  <c r="I17" i="1"/>
  <c r="I16" i="1"/>
  <c r="I15" i="1"/>
  <c r="I11" i="1"/>
  <c r="I12" i="1"/>
  <c r="I10" i="1"/>
  <c r="I9" i="1"/>
  <c r="I8" i="1"/>
  <c r="J5" i="1"/>
  <c r="I5" i="1"/>
  <c r="G85" i="1"/>
  <c r="G109" i="1"/>
  <c r="G96" i="1"/>
  <c r="G41" i="1"/>
  <c r="I72" i="1"/>
</calcChain>
</file>

<file path=xl/sharedStrings.xml><?xml version="1.0" encoding="utf-8"?>
<sst xmlns="http://schemas.openxmlformats.org/spreadsheetml/2006/main" count="1398" uniqueCount="319">
  <si>
    <t xml:space="preserve">Nohlens, et al (2000), </t>
  </si>
  <si>
    <t>Nigeria sen</t>
  </si>
  <si>
    <t>Nigeria house</t>
  </si>
  <si>
    <t>Rwanda</t>
  </si>
  <si>
    <t>2ND</t>
  </si>
  <si>
    <t>Party</t>
  </si>
  <si>
    <t>Y</t>
  </si>
  <si>
    <t>NA</t>
  </si>
  <si>
    <t>Led to Insurgency</t>
  </si>
  <si>
    <t>N</t>
  </si>
  <si>
    <t>Pres same</t>
  </si>
  <si>
    <t>Winning</t>
  </si>
  <si>
    <t>as Winning</t>
  </si>
  <si>
    <t xml:space="preserve"> Party?</t>
  </si>
  <si>
    <t>25% Indep</t>
  </si>
  <si>
    <t>Same?</t>
  </si>
  <si>
    <t>7% Other Ruling Party Affiliated</t>
  </si>
  <si>
    <t>8% Others</t>
  </si>
  <si>
    <t>11.5% Others</t>
  </si>
  <si>
    <t>None</t>
  </si>
  <si>
    <t>Boycotted by main  Opposition</t>
  </si>
  <si>
    <t>freedom</t>
  </si>
  <si>
    <t># of</t>
  </si>
  <si>
    <t>house score</t>
  </si>
  <si>
    <t>election</t>
  </si>
  <si>
    <t>yr of elect.</t>
  </si>
  <si>
    <t>Botswana</t>
    <phoneticPr fontId="0" type="noConversion"/>
  </si>
  <si>
    <t>Comoros</t>
    <phoneticPr fontId="0" type="noConversion"/>
  </si>
  <si>
    <t>Ethiopia</t>
    <phoneticPr fontId="0" type="noConversion"/>
  </si>
  <si>
    <t>Guinea Bis</t>
    <phoneticPr fontId="0" type="noConversion"/>
  </si>
  <si>
    <t>Kenya</t>
    <phoneticPr fontId="0" type="noConversion"/>
  </si>
  <si>
    <t>Malawi</t>
    <phoneticPr fontId="0" type="noConversion"/>
  </si>
  <si>
    <t>Mauritius</t>
    <phoneticPr fontId="0" type="noConversion"/>
  </si>
  <si>
    <t>Mozambique</t>
    <phoneticPr fontId="0" type="noConversion"/>
  </si>
  <si>
    <t>Namibia</t>
    <phoneticPr fontId="0" type="noConversion"/>
  </si>
  <si>
    <t>Niger</t>
    <phoneticPr fontId="0" type="noConversion"/>
  </si>
  <si>
    <t>Saotome</t>
    <phoneticPr fontId="0" type="noConversion"/>
  </si>
  <si>
    <t>S.Africa</t>
    <phoneticPr fontId="0" type="noConversion"/>
  </si>
  <si>
    <t>Tanzania</t>
    <phoneticPr fontId="0" type="noConversion"/>
  </si>
  <si>
    <t xml:space="preserve"> RDD - Dahomey Democratic Rally</t>
  </si>
  <si>
    <t xml:space="preserve"> RDD-Nassara - Democratic Rally for Development</t>
  </si>
  <si>
    <t xml:space="preserve"> RDL - Rally of Liberal Democrats for National Reconstruction (center-left)</t>
  </si>
  <si>
    <t xml:space="preserve"> RDP - Rally for Democracy and Progress</t>
  </si>
  <si>
    <t xml:space="preserve"> RE - Restore Hope</t>
  </si>
  <si>
    <t xml:space="preserve"> RND - National Rally for Democracy</t>
  </si>
  <si>
    <t xml:space="preserve"> RUND - National Rally for Unity and Democracy</t>
  </si>
  <si>
    <t xml:space="preserve"> UBF - Union for the Benin of the Future</t>
  </si>
  <si>
    <t xml:space="preserve"> UDD - Dahomeyan Democratic Union</t>
  </si>
  <si>
    <t xml:space="preserve"> UDES - Democratic Union for Social and Economic Development</t>
  </si>
  <si>
    <t xml:space="preserve"> UDRN - Union for Democracy and National Reconstruction</t>
  </si>
  <si>
    <t xml:space="preserve"> UDRS - Democratic Union for Social Renewal</t>
  </si>
  <si>
    <t xml:space="preserve"> UDS - Union for Democracy and National Solidarity</t>
  </si>
  <si>
    <t xml:space="preserve"> UDSN - Union for Democracy and National Solidarity</t>
  </si>
  <si>
    <t xml:space="preserve"> UFD - Union of Democratic Forces</t>
  </si>
  <si>
    <t xml:space="preserve"> UNDP - National Union for Democracy and Progress</t>
  </si>
  <si>
    <t xml:space="preserve"> UNSP - National Union for Solidarity and Progress</t>
  </si>
  <si>
    <t xml:space="preserve"> UPR - Union for Relief</t>
  </si>
  <si>
    <t xml:space="preserve"> URP - Popular Republican Union</t>
  </si>
  <si>
    <t xml:space="preserve"> UTRD - Union for the Triumph of Democratic Renewal.</t>
  </si>
  <si>
    <t>CNTRYNME</t>
  </si>
  <si>
    <t>LEGSPRTY</t>
  </si>
  <si>
    <t>LEGSEATS</t>
  </si>
  <si>
    <t>LEGSVOTS</t>
  </si>
  <si>
    <t>Angola</t>
  </si>
  <si>
    <t>.</t>
  </si>
  <si>
    <t>Benin</t>
  </si>
  <si>
    <t>Botswana</t>
  </si>
  <si>
    <t>Burundi</t>
  </si>
  <si>
    <t>Cameroon</t>
  </si>
  <si>
    <t>Capeverde</t>
  </si>
  <si>
    <t>CAR</t>
  </si>
  <si>
    <t>Chad</t>
  </si>
  <si>
    <t>Comoros</t>
  </si>
  <si>
    <t>CotedIvoi</t>
  </si>
  <si>
    <t>Djibouti</t>
  </si>
  <si>
    <t>Eqguinea</t>
  </si>
  <si>
    <t>Ethiopia</t>
  </si>
  <si>
    <t>Gabon</t>
  </si>
  <si>
    <t>Gambia</t>
  </si>
  <si>
    <t>Ghana</t>
  </si>
  <si>
    <t>Guinea</t>
  </si>
  <si>
    <t>GuineaBis</t>
  </si>
  <si>
    <t>Kenya</t>
  </si>
  <si>
    <t>Lesotho</t>
  </si>
  <si>
    <t>Madagasca</t>
  </si>
  <si>
    <t>Malawi</t>
  </si>
  <si>
    <t>Mali</t>
  </si>
  <si>
    <t>Mauritius</t>
  </si>
  <si>
    <t>Namibia</t>
  </si>
  <si>
    <t>Niger</t>
  </si>
  <si>
    <t>Saotome</t>
  </si>
  <si>
    <t>Senegal</t>
  </si>
  <si>
    <t>Seychelle</t>
  </si>
  <si>
    <t>Sierraleo</t>
  </si>
  <si>
    <t>S.Africa</t>
  </si>
  <si>
    <t>Tanzania</t>
  </si>
  <si>
    <t>Togo</t>
  </si>
  <si>
    <t>Zambia</t>
  </si>
  <si>
    <t>eqguinea</t>
  </si>
  <si>
    <t>Guinea Bis</t>
  </si>
  <si>
    <t xml:space="preserve">Malawi </t>
  </si>
  <si>
    <t>Mozambique</t>
  </si>
  <si>
    <t>COUNTRY</t>
  </si>
  <si>
    <t>DATE OF</t>
  </si>
  <si>
    <t>ELECTION</t>
  </si>
  <si>
    <t>SEATS</t>
  </si>
  <si>
    <t>PARTY (%)</t>
  </si>
  <si>
    <t>WINNING</t>
  </si>
  <si>
    <t>#OF PARTIES</t>
  </si>
  <si>
    <t>VOTES</t>
  </si>
  <si>
    <t>PARTIES</t>
  </si>
  <si>
    <t xml:space="preserve"> SEATS</t>
  </si>
  <si>
    <t># OF</t>
  </si>
  <si>
    <t xml:space="preserve">WINNING </t>
  </si>
  <si>
    <t>AC - Chameleon Alliance</t>
  </si>
  <si>
    <t xml:space="preserve"> ADP - Alliance for Democracy in Progress</t>
  </si>
  <si>
    <t xml:space="preserve"> AFP - Alliance of Progress Forces</t>
  </si>
  <si>
    <t xml:space="preserve"> ANAD - National Alliance for a Democratic Alternative</t>
  </si>
  <si>
    <t xml:space="preserve"> AR - Renewal Alliance</t>
  </si>
  <si>
    <t xml:space="preserve"> ASD - Alliance for Social Democracy (left-wing)</t>
  </si>
  <si>
    <t xml:space="preserve"> BGLD - Builders and Managers of Freedom and Development</t>
  </si>
  <si>
    <t xml:space="preserve"> BSD - Bloc for Social Democracy</t>
  </si>
  <si>
    <t xml:space="preserve"> CAD - African Congress of Democrats</t>
  </si>
  <si>
    <t xml:space="preserve"> CAR-Dunya - African Congress for Renewal</t>
  </si>
  <si>
    <t xml:space="preserve"> CBE - Coalition for an Emerging Benin</t>
  </si>
  <si>
    <t> CPP - Congress of People for Progress</t>
  </si>
  <si>
    <t xml:space="preserve"> ENVOL - Envol Movement</t>
  </si>
  <si>
    <t xml:space="preserve"> FARD-Alafia - Action Front for Renewal and Development (left-wing)</t>
  </si>
  <si>
    <t xml:space="preserve"> FC - Key Force</t>
  </si>
  <si>
    <t xml:space="preserve"> FCBE - Cauri Forces for an Emerging Benin</t>
  </si>
  <si>
    <t xml:space="preserve"> FE - Hope Force</t>
  </si>
  <si>
    <t xml:space="preserve"> IPD - Impulse for Progress and Democracy</t>
  </si>
  <si>
    <t xml:space="preserve"> Les Verts - The Greens</t>
  </si>
  <si>
    <t xml:space="preserve"> MADEP - African Movement for Democracy and Progress</t>
  </si>
  <si>
    <t xml:space="preserve"> MAP - Movement for the People Alternative</t>
  </si>
  <si>
    <t xml:space="preserve"> MDC - Movement for Development by the Culture</t>
  </si>
  <si>
    <t xml:space="preserve"> MDS - Movement for Development and Solidarity</t>
  </si>
  <si>
    <t xml:space="preserve"> MERCI - Movement for Citizens' Commitment and Awakening</t>
  </si>
  <si>
    <t xml:space="preserve"> MNDD - National Movement for Democracy and Development (left-wing)</t>
  </si>
  <si>
    <t xml:space="preserve"> MSUP - Movement for Solidarity</t>
  </si>
  <si>
    <t xml:space="preserve"> Union</t>
  </si>
  <si>
    <t xml:space="preserve"> and Progress</t>
  </si>
  <si>
    <t xml:space="preserve"> NA - New Alliance</t>
  </si>
  <si>
    <t xml:space="preserve"> NCC - Our Common Cause</t>
  </si>
  <si>
    <t xml:space="preserve"> NG - New Generation</t>
  </si>
  <si>
    <t xml:space="preserve"> PCB - Communist Party of Benin (far-left)</t>
  </si>
  <si>
    <t xml:space="preserve"> PDB - Democratic Party of Benin</t>
  </si>
  <si>
    <t xml:space="preserve"> PDD - Dahomeyan Democratic Party</t>
  </si>
  <si>
    <t xml:space="preserve"> PDPS - Party for Democracy and Social Progress</t>
  </si>
  <si>
    <t xml:space="preserve"> PND - Dahomey Nationalist Party</t>
  </si>
  <si>
    <t xml:space="preserve"> PNDD - National Party for Democracy and Development</t>
  </si>
  <si>
    <t xml:space="preserve"> PNT - National Labor Party</t>
  </si>
  <si>
    <t xml:space="preserve"> PRB [RB] - Renaissance Party of Benin (centrist)</t>
  </si>
  <si>
    <t xml:space="preserve"> PRD - Republican Party of Dahomey</t>
  </si>
  <si>
    <t xml:space="preserve"> PRD - Democratic Renewal Party</t>
  </si>
  <si>
    <t> PRD-NG - Awakening Party of Democrats of the New Generation</t>
  </si>
  <si>
    <t xml:space="preserve"> PRPB - Benin People’s Revolutionary Party</t>
  </si>
  <si>
    <t xml:space="preserve"> PS - Salute Party</t>
  </si>
  <si>
    <t xml:space="preserve"> PSD - Social Democratic Party</t>
  </si>
  <si>
    <t xml:space="preserve"> RAPS - African Rally for Progress and Solidarity</t>
  </si>
  <si>
    <t>Lower House</t>
  </si>
  <si>
    <t>*Source Wikipedia</t>
  </si>
  <si>
    <t>*wikipedia</t>
  </si>
  <si>
    <t>*IPU, 63 seats, 57 d.e.</t>
  </si>
  <si>
    <t>Burkina Faso</t>
  </si>
  <si>
    <t>Burundi-n.a.</t>
  </si>
  <si>
    <t>Burundi-sen (3 rounds)</t>
  </si>
  <si>
    <t>cumulative results of 2 round</t>
  </si>
  <si>
    <t xml:space="preserve">CAR-nat.asm. </t>
  </si>
  <si>
    <t>*Presidential Tendency make up of (7 parties)</t>
  </si>
  <si>
    <t>Congo-Brazzaville nat.asm</t>
  </si>
  <si>
    <t>Winning party counted as PCT coalition (16 parties); 2nd winning party is Independents (37 seats)</t>
  </si>
  <si>
    <t>Winning party counted as PCT coalition (16 parties); 2nd winning party is Independents (37 seats); *source A.E.D.</t>
  </si>
  <si>
    <t>Congo-Kinshasa nat. asm</t>
  </si>
  <si>
    <t>PPRD and its allies captured an absolute majority of about 260 seats in the 500-seat National Assembly</t>
  </si>
  <si>
    <t>Congo-Kinshasa sen.</t>
  </si>
  <si>
    <t>*source IPU; Indirect elections held for half of the seats in the senate</t>
  </si>
  <si>
    <t>indirect</t>
  </si>
  <si>
    <t>*Independents won 26 seats</t>
  </si>
  <si>
    <t>Indirect</t>
  </si>
  <si>
    <t>Zimbabwe sen.</t>
  </si>
  <si>
    <t>5 seats appointed by the President, other:  10 provincial governors, the President and Deputy President of Council of Chiefs, 16 traditional chiefs, 7 additional members.</t>
  </si>
  <si>
    <t>*Constitutional amendments in Sep. 2007 changes nat. asm seats from 150 to 210, and 93-member senate 50 d.e. seats to 60; source IDEA, IPU</t>
  </si>
  <si>
    <t>Zimbabwe house.asm</t>
  </si>
  <si>
    <t>Zambia (unicameral)</t>
  </si>
  <si>
    <t>General election</t>
  </si>
  <si>
    <t>Togo (unicameral)</t>
  </si>
  <si>
    <t>Tanzania (unicameral)</t>
  </si>
  <si>
    <t>Semi-autonomous region of Zanzibar has a disproportionately high level of importance in Tanzania’s political system( of 232 constituencies, 50 are allocated to the 1.2 million people of Zanzibar, remaining 182 seats are shared amongst around 40million Tanzanians on the mainland). Source for 2005, 2010 data: http://www.kas.de/wf/doc/kas_21554-1522-2-30.pdf?110112143806</t>
  </si>
  <si>
    <t>Mauritania nat.asm</t>
  </si>
  <si>
    <t>One-third of the membership is renewed in indirect elections every two year</t>
  </si>
  <si>
    <t>Nigeria sen.</t>
  </si>
  <si>
    <t>Mauritania sen. (2 round cumulative)</t>
  </si>
  <si>
    <t>Liberia sen.</t>
  </si>
  <si>
    <t>Liberia nat.asm</t>
  </si>
  <si>
    <t>Rwanda nat.asm</t>
  </si>
  <si>
    <t>source Wikipedia; 53 are elected for five-years term by proportional representation and 24 are elected by provincial councils; of the remainder, two are appointed by the National Youth Council, and one by the Federation of the Associations of the Disabled.</t>
  </si>
  <si>
    <t>Liberia-sen.</t>
  </si>
  <si>
    <t>1st multi party elections ever</t>
  </si>
  <si>
    <t>Elections after long time due to civil war</t>
  </si>
  <si>
    <t>There was some alleged fraud and 13 seats were allocated after a re-election in the same year</t>
  </si>
  <si>
    <t>There were two major alliances of parties, so the % of vote figures would not be per party, but per alliance</t>
  </si>
  <si>
    <t>y</t>
  </si>
  <si>
    <t>First multiparty elections ever</t>
  </si>
  <si>
    <t>Elections were re-run in 4 constituencies after contestation.</t>
  </si>
  <si>
    <t>First multi-elections ever</t>
  </si>
  <si>
    <t>Winning party did not form part of coalition which had majority in parliament</t>
  </si>
  <si>
    <t>34 candidates were elected as independent candidates without a party</t>
  </si>
  <si>
    <t>26 candidates (26% of the elected people) run as independents</t>
  </si>
  <si>
    <t>Elections were annulled in some constituencies following the election and were held again in 1996 to fill vacant seats</t>
  </si>
  <si>
    <t>First multi party elections</t>
  </si>
  <si>
    <t>The second party which won the most number of votes was part of the winning coalition; second party here in the table is however the opposition party which won only 2 seats</t>
  </si>
  <si>
    <t>The second party which won the most number of votes was part of the winning coalition; second party here in the table is however the opposition party which won only 1 seat</t>
  </si>
  <si>
    <t>The election was boycotted by most opposition parties</t>
  </si>
  <si>
    <t>There were 4 main coalitions with multiple small parties (these 4 main coaltions are counted as parties here)</t>
  </si>
  <si>
    <t>Madagascar</t>
  </si>
  <si>
    <t>26.9% of the seats were won by independent candidates</t>
  </si>
  <si>
    <t>I counted the 3 main coalitions (each made up of many small parties) as single parties</t>
  </si>
  <si>
    <t>Mauritania</t>
  </si>
  <si>
    <t>The elections were boycotted by the main opposition parties</t>
  </si>
  <si>
    <t>27 members are elected indirectly</t>
  </si>
  <si>
    <t xml:space="preserve">Rwanda </t>
  </si>
  <si>
    <t>Nigeria (house)</t>
  </si>
  <si>
    <t>Additional comments</t>
  </si>
  <si>
    <t>Y*</t>
  </si>
  <si>
    <t>President elected by N.A.</t>
  </si>
  <si>
    <t>Legislative Elections, Sub Saharan Africa, 1989-2015</t>
  </si>
  <si>
    <t>EFFECTIVE</t>
  </si>
  <si>
    <t>First multi party elections since 1964 Seats and vote discepancy for 2nd winning party</t>
  </si>
  <si>
    <t>Presidential Elections</t>
  </si>
  <si>
    <t>Same Year</t>
  </si>
  <si>
    <t>Bicameral</t>
  </si>
  <si>
    <t>(1=yes)</t>
  </si>
  <si>
    <t>Kerekou's party kept majority by one seat</t>
  </si>
  <si>
    <t>Peaceful, like '08</t>
  </si>
  <si>
    <t>Election delayed, winning party "won a plurality of 22% and 35 out of 83 available seats"</t>
  </si>
  <si>
    <t>President Yayi's coalition gained +14 seats than last election, securing 41 of 87. Delayed by court debating validity of opposition candidates.</t>
  </si>
  <si>
    <t>Delays, winning party barely kept hold</t>
  </si>
  <si>
    <t>Winning party with much larger hold, determined that free and fair elections have been held since 97</t>
  </si>
  <si>
    <t>Winning party with majorty since first elections in 74</t>
  </si>
  <si>
    <t>All elections determined to be largely free and fair</t>
  </si>
  <si>
    <t>First multi party elections since 1965, first election since suspension in 1982</t>
  </si>
  <si>
    <t>National assembly elections</t>
  </si>
  <si>
    <t>Most opposition boycotted, whereas for pres race all boycotted</t>
  </si>
  <si>
    <t>Vote rigging identified, main opposition parties boycotted</t>
  </si>
  <si>
    <t>incumbent RDPC expanded legislative hold but majority unclear</t>
  </si>
  <si>
    <t>vote rigging identified, winning party stripped of 12 seats post-election</t>
  </si>
  <si>
    <t>Election results in 1992 were cancelled (first legitimate multi-party elections since 1982)</t>
  </si>
  <si>
    <t>no party wins a majority</t>
  </si>
  <si>
    <t xml:space="preserve">conflicting info in NELDA codebook, states "incumbent party won by larger margin than last election" </t>
  </si>
  <si>
    <t>conflicting info, states incumbent party lost majority</t>
  </si>
  <si>
    <t>suspended until this year following coup</t>
  </si>
  <si>
    <t>conflicting info, states president's party won large majority</t>
  </si>
  <si>
    <t>Vote rigging present</t>
  </si>
  <si>
    <t>Opposition boycotted election</t>
  </si>
  <si>
    <t>Opposition coalition present but entirely defeated</t>
  </si>
  <si>
    <t>There is a coalition that is allied with the majority party and a separate opposition party</t>
  </si>
  <si>
    <t>**63% is gov reported turnout, however international observers report as low as 30% turnout</t>
  </si>
  <si>
    <t>Delays and severe voter suppression</t>
  </si>
  <si>
    <t>Very strong quality of elections relative to past elections</t>
  </si>
  <si>
    <t>Crisis where original winner contested and runner up named president</t>
  </si>
  <si>
    <t>Extended dispute regarding election results</t>
  </si>
  <si>
    <t>As before, winning party won plurality but not majority</t>
  </si>
  <si>
    <t>Voter turnout so low, officials did not release exact number</t>
  </si>
  <si>
    <t>voter turnout from national assembly, as separate from national council (combined in some datasets, and not others)</t>
  </si>
  <si>
    <t>Official numbers of votes not released</t>
  </si>
  <si>
    <t>Boycotted by Opposition-- government misrepresented turnout numbers, real numbers unknown</t>
  </si>
  <si>
    <t>Turnout can be presumed to be same # as presidential, on same ballot</t>
  </si>
  <si>
    <t xml:space="preserve">South Sudan </t>
  </si>
  <si>
    <t xml:space="preserve">Sudan </t>
  </si>
  <si>
    <t>Eritrea</t>
  </si>
  <si>
    <t>NO elections</t>
  </si>
  <si>
    <t xml:space="preserve">Somalia </t>
  </si>
  <si>
    <t>NO ELECTIONS</t>
  </si>
  <si>
    <t>Swaziland</t>
  </si>
  <si>
    <t xml:space="preserve">Uganda </t>
  </si>
  <si>
    <t>Single party legislative elections held in 80 and 86. New consitution in 2010 removed direct election of president.</t>
  </si>
  <si>
    <t xml:space="preserve">Burundi-sen </t>
  </si>
  <si>
    <t>NA*</t>
  </si>
  <si>
    <t>I have not been able to find any data on a 2009 election</t>
  </si>
  <si>
    <t>160 is the number of seats won</t>
  </si>
  <si>
    <t>Largely boycotted and voting did not tak eplace in three rebel-held privinces</t>
  </si>
  <si>
    <t>*9.2</t>
  </si>
  <si>
    <t>*Second party was independent candidates. Also, the number of seats deacreased after the independence of South Sudan.</t>
  </si>
  <si>
    <t>*17.7</t>
  </si>
  <si>
    <t>Swazland</t>
  </si>
  <si>
    <t>All candidates are non-partisan by law.</t>
  </si>
  <si>
    <t>Election was cancelled</t>
  </si>
  <si>
    <t>First senate elections (Held concurrently with national assembly elections)</t>
  </si>
  <si>
    <t>Postponed after a short coup following the resignation of Pres. Campaoré</t>
  </si>
  <si>
    <t>*94.1</t>
  </si>
  <si>
    <t>Most opposition boycotted this election. *This figure does not include reserved seats.</t>
  </si>
  <si>
    <t>President's party is part of winning coalition/front.</t>
  </si>
  <si>
    <t>Lesotho is a monarchy with only a prime minister</t>
  </si>
  <si>
    <t>Postponed due to Ebola outbreak</t>
  </si>
  <si>
    <t>Officially non-partisan election</t>
  </si>
  <si>
    <t>Largely boycotted by opposition. Officially non-partisan. The only party was NRM.</t>
  </si>
  <si>
    <t>In 2013, a senate was introduced. The seats are determined by indirect votes however.</t>
  </si>
  <si>
    <t>*Approximate</t>
  </si>
  <si>
    <t>Eqguinea (Sen.)</t>
  </si>
  <si>
    <t>No other cohesive parties existed in 94-95 elections. 94 was a constituent assembly election.</t>
  </si>
  <si>
    <t>"Other" tickets accounted for 32.8% of the vote</t>
  </si>
  <si>
    <t>The first results from 1997 were annulled by the constitutional court and the election was held again</t>
  </si>
  <si>
    <t>43.39**</t>
  </si>
  <si>
    <t>63.14**</t>
  </si>
  <si>
    <t>Senate election is done by indirect vote. The president was also an independent candidate. **Winning party was independent candidates</t>
  </si>
  <si>
    <t>*A new party was created to replace the president's Rally of the Togolese People</t>
  </si>
  <si>
    <t>Senate uses proportional representation</t>
  </si>
  <si>
    <t>This is a run-off election. *New parties formed after the 2009 election.</t>
  </si>
  <si>
    <t>Comments on Data</t>
  </si>
  <si>
    <t xml:space="preserve"> Pres. Elected by Senate and NationalAssembly</t>
  </si>
  <si>
    <t>*Source:ipu; Opposition boycotted legislative elections after also boycotting presidential elections</t>
  </si>
  <si>
    <t>32% Independent Vote</t>
  </si>
  <si>
    <t>10% Independent</t>
  </si>
  <si>
    <t>10.6% Independent</t>
  </si>
  <si>
    <t>20% Independent</t>
  </si>
  <si>
    <t>13% Independent</t>
  </si>
  <si>
    <t>43% Independent; likely old ruling party (Islamic Parties were banned)</t>
  </si>
  <si>
    <r>
      <t xml:space="preserve">Sources: </t>
    </r>
    <r>
      <rPr>
        <i/>
        <sz val="8"/>
        <color theme="1"/>
        <rFont val="Calibri"/>
        <family val="2"/>
        <scheme val="minor"/>
      </rPr>
      <t>Journal of Democracy, (</t>
    </r>
    <r>
      <rPr>
        <sz val="8"/>
        <color theme="1"/>
        <rFont val="Calibri"/>
        <scheme val="minor"/>
      </rPr>
      <t xml:space="preserve">various issues), </t>
    </r>
    <r>
      <rPr>
        <i/>
        <sz val="8"/>
        <color theme="1"/>
        <rFont val="Calibri"/>
        <family val="2"/>
        <scheme val="minor"/>
      </rPr>
      <t>Africa South of the Sahara(Europa Guide, various years),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</si>
</sst>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
    <numFmt numFmtId="165" formatCode="#.00"/>
    <numFmt numFmtId="166" formatCode="0.000"/>
    <numFmt numFmtId="167" formatCode="0.0"/>
    <numFmt numFmtId="168" formatCode="000000"/>
    <numFmt numFmtId="169" formatCode="0.0000"/>
  </numFmts>
  <fonts count="11" x14ac:knownFonts="1">
    <font>
      <sz val="8"/>
      <name val="Courier"/>
    </font>
    <font>
      <sz val="7.5"/>
      <color indexed="8"/>
      <name val="Verdana"/>
      <family val="2"/>
    </font>
    <font>
      <sz val="8"/>
      <name val="Calibri"/>
      <family val="2"/>
      <scheme val="minor"/>
    </font>
    <font>
      <u/>
      <sz val="8"/>
      <color theme="10"/>
      <name val="Courier"/>
    </font>
    <font>
      <u/>
      <sz val="8"/>
      <color theme="11"/>
      <name val="Courier"/>
    </font>
    <font>
      <sz val="8"/>
      <color theme="1"/>
      <name val="Calibri"/>
      <scheme val="minor"/>
    </font>
    <font>
      <b/>
      <u/>
      <sz val="8"/>
      <color theme="1"/>
      <name val="Calibri"/>
      <scheme val="minor"/>
    </font>
    <font>
      <b/>
      <sz val="12"/>
      <color theme="1"/>
      <name val="Calibri"/>
      <family val="2"/>
      <scheme val="minor"/>
    </font>
    <font>
      <b/>
      <sz val="8"/>
      <color theme="1"/>
      <name val="Calibri"/>
      <family val="2"/>
      <scheme val="minor"/>
    </font>
    <font>
      <sz val="8"/>
      <color theme="1"/>
      <name val="Courier"/>
    </font>
    <font>
      <i/>
      <sz val="8"/>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medium">
        <color rgb="FFAAAAAA"/>
      </right>
      <top style="medium">
        <color rgb="FFAAAAAA"/>
      </top>
      <bottom style="medium">
        <color rgb="FFAAAAAA"/>
      </bottom>
      <diagonal/>
    </border>
    <border>
      <left style="thin">
        <color auto="1"/>
      </left>
      <right style="thin">
        <color auto="1"/>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62">
    <xf numFmtId="0" fontId="0" fillId="0" borderId="0" xfId="0"/>
    <xf numFmtId="0" fontId="1" fillId="0" borderId="0" xfId="0" applyFont="1"/>
    <xf numFmtId="0" fontId="2" fillId="0" borderId="1" xfId="0" applyFont="1" applyBorder="1" applyAlignment="1" applyProtection="1">
      <alignment horizontal="left"/>
      <protection locked="0"/>
    </xf>
    <xf numFmtId="0" fontId="2" fillId="2" borderId="1" xfId="0" applyFont="1" applyFill="1" applyBorder="1" applyAlignment="1" applyProtection="1">
      <alignment horizontal="left"/>
      <protection locked="0"/>
    </xf>
    <xf numFmtId="0" fontId="2" fillId="0" borderId="1" xfId="0" applyFont="1" applyBorder="1" applyAlignment="1">
      <alignment horizontal="left"/>
    </xf>
    <xf numFmtId="0" fontId="2" fillId="2" borderId="1" xfId="0" applyFont="1" applyFill="1" applyBorder="1" applyAlignment="1">
      <alignment horizontal="left"/>
    </xf>
    <xf numFmtId="168" fontId="2" fillId="2" borderId="1" xfId="0" applyNumberFormat="1" applyFont="1" applyFill="1" applyBorder="1" applyAlignment="1">
      <alignment horizontal="left"/>
    </xf>
    <xf numFmtId="1" fontId="2" fillId="2" borderId="1" xfId="0" applyNumberFormat="1" applyFont="1" applyFill="1" applyBorder="1" applyAlignment="1">
      <alignment horizontal="left"/>
    </xf>
    <xf numFmtId="2" fontId="2" fillId="2" borderId="1" xfId="0" applyNumberFormat="1" applyFont="1" applyFill="1" applyBorder="1" applyAlignment="1">
      <alignment horizontal="left"/>
    </xf>
    <xf numFmtId="168" fontId="2" fillId="2" borderId="1" xfId="0" applyNumberFormat="1" applyFont="1" applyFill="1" applyBorder="1" applyAlignment="1" applyProtection="1">
      <alignment horizontal="left"/>
      <protection locked="0"/>
    </xf>
    <xf numFmtId="1" fontId="2" fillId="2" borderId="1" xfId="0" applyNumberFormat="1" applyFont="1" applyFill="1" applyBorder="1" applyAlignment="1" applyProtection="1">
      <alignment horizontal="left"/>
      <protection locked="0"/>
    </xf>
    <xf numFmtId="2" fontId="2" fillId="2" borderId="1" xfId="0" applyNumberFormat="1" applyFont="1" applyFill="1" applyBorder="1" applyAlignment="1" applyProtection="1">
      <alignment horizontal="left"/>
      <protection locked="0"/>
    </xf>
    <xf numFmtId="0" fontId="5" fillId="2" borderId="1" xfId="0" applyFont="1" applyFill="1" applyBorder="1" applyAlignment="1">
      <alignment horizontal="left"/>
    </xf>
    <xf numFmtId="0" fontId="5" fillId="0" borderId="1" xfId="0" applyFont="1" applyFill="1" applyBorder="1" applyAlignment="1" applyProtection="1">
      <alignment horizontal="left"/>
      <protection locked="0"/>
    </xf>
    <xf numFmtId="0" fontId="6" fillId="0" borderId="1" xfId="0" applyFont="1" applyFill="1" applyBorder="1" applyAlignment="1" applyProtection="1">
      <alignment horizontal="left"/>
      <protection locked="0"/>
    </xf>
    <xf numFmtId="166" fontId="2" fillId="0" borderId="1" xfId="0" applyNumberFormat="1" applyFont="1" applyFill="1" applyBorder="1" applyAlignment="1">
      <alignment horizontal="left"/>
    </xf>
    <xf numFmtId="167" fontId="2" fillId="0" borderId="1" xfId="0" applyNumberFormat="1" applyFont="1" applyFill="1" applyBorder="1" applyAlignment="1">
      <alignment horizontal="left"/>
    </xf>
    <xf numFmtId="166" fontId="2" fillId="0" borderId="1" xfId="0" applyNumberFormat="1" applyFont="1" applyFill="1" applyBorder="1" applyAlignment="1" applyProtection="1">
      <alignment horizontal="left"/>
      <protection locked="0"/>
    </xf>
    <xf numFmtId="2" fontId="2" fillId="0" borderId="1" xfId="0" applyNumberFormat="1" applyFont="1" applyFill="1" applyBorder="1" applyAlignment="1">
      <alignment horizontal="left"/>
    </xf>
    <xf numFmtId="1" fontId="2" fillId="0" borderId="1" xfId="0" applyNumberFormat="1" applyFont="1" applyFill="1" applyBorder="1" applyAlignment="1">
      <alignment horizontal="left"/>
    </xf>
    <xf numFmtId="165" fontId="2" fillId="2" borderId="1" xfId="0" applyNumberFormat="1" applyFont="1" applyFill="1" applyBorder="1" applyAlignment="1">
      <alignment horizontal="left"/>
    </xf>
    <xf numFmtId="164" fontId="2" fillId="2" borderId="1" xfId="0" applyNumberFormat="1" applyFont="1" applyFill="1" applyBorder="1" applyAlignment="1">
      <alignment horizontal="left"/>
    </xf>
    <xf numFmtId="166" fontId="2" fillId="2" borderId="1" xfId="0" applyNumberFormat="1" applyFont="1" applyFill="1" applyBorder="1" applyAlignment="1">
      <alignment horizontal="left"/>
    </xf>
    <xf numFmtId="169" fontId="2" fillId="2" borderId="1" xfId="0" applyNumberFormat="1" applyFont="1" applyFill="1" applyBorder="1" applyAlignment="1">
      <alignment horizontal="left"/>
    </xf>
    <xf numFmtId="0" fontId="5" fillId="0" borderId="1" xfId="0" applyFont="1" applyFill="1" applyBorder="1" applyAlignment="1">
      <alignment horizontal="left"/>
    </xf>
    <xf numFmtId="2" fontId="5" fillId="0" borderId="1" xfId="0" applyNumberFormat="1" applyFont="1" applyFill="1" applyBorder="1" applyAlignment="1" applyProtection="1">
      <alignment horizontal="left"/>
      <protection locked="0"/>
    </xf>
    <xf numFmtId="168" fontId="7" fillId="0" borderId="1" xfId="0" applyNumberFormat="1" applyFont="1" applyFill="1" applyBorder="1" applyAlignment="1">
      <alignment horizontal="left"/>
    </xf>
    <xf numFmtId="1" fontId="7" fillId="0" borderId="1" xfId="0" applyNumberFormat="1" applyFont="1" applyFill="1" applyBorder="1" applyAlignment="1">
      <alignment horizontal="left"/>
    </xf>
    <xf numFmtId="0" fontId="7" fillId="0" borderId="1" xfId="0" applyFont="1" applyFill="1" applyBorder="1" applyAlignment="1">
      <alignment horizontal="left"/>
    </xf>
    <xf numFmtId="166" fontId="8" fillId="0" borderId="1" xfId="0" applyNumberFormat="1" applyFont="1" applyFill="1" applyBorder="1" applyAlignment="1">
      <alignment horizontal="left"/>
    </xf>
    <xf numFmtId="2" fontId="8" fillId="0" borderId="1" xfId="0" applyNumberFormat="1" applyFont="1" applyFill="1" applyBorder="1" applyAlignment="1">
      <alignment horizontal="left"/>
    </xf>
    <xf numFmtId="167" fontId="5" fillId="0" borderId="1" xfId="0" applyNumberFormat="1" applyFont="1" applyFill="1" applyBorder="1" applyAlignment="1">
      <alignment horizontal="left"/>
    </xf>
    <xf numFmtId="2" fontId="5" fillId="0" borderId="1" xfId="0" applyNumberFormat="1" applyFont="1" applyFill="1" applyBorder="1" applyAlignment="1">
      <alignment horizontal="left"/>
    </xf>
    <xf numFmtId="1" fontId="5" fillId="0" borderId="1" xfId="0" applyNumberFormat="1" applyFont="1" applyFill="1" applyBorder="1" applyAlignment="1">
      <alignment horizontal="left"/>
    </xf>
    <xf numFmtId="168" fontId="5" fillId="0" borderId="1" xfId="0" applyNumberFormat="1" applyFont="1" applyFill="1" applyBorder="1" applyAlignment="1">
      <alignment horizontal="left"/>
    </xf>
    <xf numFmtId="166" fontId="5" fillId="0" borderId="1" xfId="0" applyNumberFormat="1" applyFont="1" applyFill="1" applyBorder="1" applyAlignment="1">
      <alignment horizontal="left"/>
    </xf>
    <xf numFmtId="168" fontId="5" fillId="0" borderId="1" xfId="0" applyNumberFormat="1" applyFont="1" applyFill="1" applyBorder="1" applyAlignment="1" applyProtection="1">
      <alignment horizontal="left"/>
      <protection locked="0"/>
    </xf>
    <xf numFmtId="1" fontId="5" fillId="0" borderId="1" xfId="0" applyNumberFormat="1" applyFont="1" applyFill="1" applyBorder="1" applyAlignment="1" applyProtection="1">
      <alignment horizontal="left"/>
      <protection locked="0"/>
    </xf>
    <xf numFmtId="166" fontId="5" fillId="0" borderId="1" xfId="0" applyNumberFormat="1" applyFont="1" applyFill="1" applyBorder="1" applyAlignment="1" applyProtection="1">
      <alignment horizontal="left"/>
      <protection locked="0"/>
    </xf>
    <xf numFmtId="167" fontId="5" fillId="0" borderId="1" xfId="0" applyNumberFormat="1" applyFont="1" applyFill="1" applyBorder="1" applyAlignment="1" applyProtection="1">
      <alignment horizontal="left"/>
      <protection locked="0"/>
    </xf>
    <xf numFmtId="165" fontId="5" fillId="0" borderId="1" xfId="0" applyNumberFormat="1" applyFont="1" applyFill="1" applyBorder="1" applyAlignment="1" applyProtection="1">
      <alignment horizontal="left"/>
      <protection locked="0"/>
    </xf>
    <xf numFmtId="167" fontId="5" fillId="0" borderId="3" xfId="0" applyNumberFormat="1" applyFont="1" applyFill="1" applyBorder="1" applyAlignment="1">
      <alignment horizontal="left"/>
    </xf>
    <xf numFmtId="0" fontId="5" fillId="0" borderId="0" xfId="0" applyFont="1" applyFill="1"/>
    <xf numFmtId="0" fontId="9" fillId="0" borderId="0" xfId="0" applyFont="1" applyFill="1"/>
    <xf numFmtId="164" fontId="5" fillId="0" borderId="1" xfId="0" applyNumberFormat="1" applyFont="1" applyFill="1" applyBorder="1" applyAlignment="1" applyProtection="1">
      <alignment horizontal="left"/>
      <protection locked="0"/>
    </xf>
    <xf numFmtId="167" fontId="8" fillId="0" borderId="1" xfId="0" applyNumberFormat="1" applyFont="1" applyFill="1" applyBorder="1" applyAlignment="1">
      <alignment horizontal="left"/>
    </xf>
    <xf numFmtId="169" fontId="5" fillId="0" borderId="1" xfId="0" applyNumberFormat="1" applyFont="1" applyFill="1" applyBorder="1" applyAlignment="1">
      <alignment horizontal="left"/>
    </xf>
    <xf numFmtId="0" fontId="5" fillId="0" borderId="0" xfId="0" applyFont="1" applyFill="1" applyAlignment="1">
      <alignment horizontal="left"/>
    </xf>
    <xf numFmtId="168" fontId="5" fillId="0" borderId="1" xfId="0" quotePrefix="1" applyNumberFormat="1" applyFont="1" applyFill="1" applyBorder="1" applyAlignment="1" applyProtection="1">
      <alignment horizontal="left"/>
      <protection locked="0"/>
    </xf>
    <xf numFmtId="2" fontId="5" fillId="0" borderId="0" xfId="0" applyNumberFormat="1" applyFont="1" applyFill="1" applyBorder="1" applyAlignment="1">
      <alignment horizontal="left"/>
    </xf>
    <xf numFmtId="1" fontId="5" fillId="0" borderId="0" xfId="0" applyNumberFormat="1" applyFont="1" applyFill="1" applyBorder="1" applyAlignment="1">
      <alignment horizontal="left"/>
    </xf>
    <xf numFmtId="0" fontId="5" fillId="0" borderId="0" xfId="0" applyFont="1" applyFill="1" applyBorder="1" applyAlignment="1">
      <alignment horizontal="left"/>
    </xf>
    <xf numFmtId="2" fontId="5" fillId="0" borderId="3" xfId="0" applyNumberFormat="1" applyFont="1" applyFill="1" applyBorder="1" applyAlignment="1">
      <alignment horizontal="left"/>
    </xf>
    <xf numFmtId="1" fontId="5" fillId="0" borderId="3" xfId="0" applyNumberFormat="1" applyFont="1" applyFill="1" applyBorder="1" applyAlignment="1">
      <alignment horizontal="left"/>
    </xf>
    <xf numFmtId="0" fontId="8" fillId="0" borderId="1" xfId="0" applyFont="1" applyFill="1" applyBorder="1" applyAlignment="1">
      <alignment horizontal="left"/>
    </xf>
    <xf numFmtId="167" fontId="5" fillId="0" borderId="2" xfId="0" applyNumberFormat="1" applyFont="1" applyFill="1" applyBorder="1" applyAlignment="1">
      <alignment horizontal="left" wrapText="1"/>
    </xf>
    <xf numFmtId="167" fontId="5" fillId="0" borderId="0" xfId="0" applyNumberFormat="1" applyFont="1" applyFill="1" applyBorder="1" applyAlignment="1">
      <alignment horizontal="left" wrapText="1"/>
    </xf>
    <xf numFmtId="0" fontId="5" fillId="0" borderId="1" xfId="0" applyFont="1" applyBorder="1" applyAlignment="1">
      <alignment horizontal="left"/>
    </xf>
    <xf numFmtId="0" fontId="5" fillId="0" borderId="1" xfId="0" applyFont="1" applyBorder="1" applyAlignment="1" applyProtection="1">
      <alignment horizontal="left"/>
      <protection locked="0"/>
    </xf>
    <xf numFmtId="168" fontId="5" fillId="2" borderId="1" xfId="0" applyNumberFormat="1" applyFont="1" applyFill="1" applyBorder="1" applyAlignment="1">
      <alignment horizontal="left"/>
    </xf>
    <xf numFmtId="1" fontId="5" fillId="2" borderId="1" xfId="0" applyNumberFormat="1" applyFont="1" applyFill="1" applyBorder="1" applyAlignment="1">
      <alignment horizontal="left"/>
    </xf>
    <xf numFmtId="2" fontId="5" fillId="2" borderId="1" xfId="0" applyNumberFormat="1" applyFont="1" applyFill="1" applyBorder="1" applyAlignment="1">
      <alignment horizontal="left"/>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
  <sheetViews>
    <sheetView workbookViewId="0">
      <selection activeCell="BI1" sqref="BI1"/>
    </sheetView>
  </sheetViews>
  <sheetFormatPr baseColWidth="10" defaultColWidth="9" defaultRowHeight="11" x14ac:dyDescent="0.15"/>
  <cols>
    <col min="1" max="256" width="11" customWidth="1"/>
  </cols>
  <sheetData>
    <row r="1" spans="1:66" x14ac:dyDescent="0.15">
      <c r="A1" s="1" t="s">
        <v>114</v>
      </c>
      <c r="B1" t="s">
        <v>115</v>
      </c>
      <c r="C1" t="s">
        <v>116</v>
      </c>
      <c r="D1" t="s">
        <v>117</v>
      </c>
      <c r="E1" t="s">
        <v>118</v>
      </c>
      <c r="F1" t="s">
        <v>119</v>
      </c>
      <c r="G1" t="s">
        <v>120</v>
      </c>
      <c r="H1" t="s">
        <v>121</v>
      </c>
      <c r="I1" t="s">
        <v>122</v>
      </c>
      <c r="J1" t="s">
        <v>123</v>
      </c>
      <c r="K1" t="s">
        <v>124</v>
      </c>
      <c r="L1" t="s">
        <v>125</v>
      </c>
      <c r="M1" t="s">
        <v>126</v>
      </c>
      <c r="N1" t="s">
        <v>127</v>
      </c>
      <c r="O1" t="s">
        <v>128</v>
      </c>
      <c r="P1" t="s">
        <v>129</v>
      </c>
      <c r="Q1" t="s">
        <v>130</v>
      </c>
      <c r="R1" t="s">
        <v>131</v>
      </c>
      <c r="S1" t="s">
        <v>132</v>
      </c>
      <c r="T1" t="s">
        <v>133</v>
      </c>
      <c r="U1" t="s">
        <v>134</v>
      </c>
      <c r="V1" t="s">
        <v>135</v>
      </c>
      <c r="W1" t="s">
        <v>136</v>
      </c>
      <c r="X1" t="s">
        <v>137</v>
      </c>
      <c r="Y1" t="s">
        <v>138</v>
      </c>
      <c r="Z1" t="s">
        <v>139</v>
      </c>
      <c r="AA1" t="s">
        <v>140</v>
      </c>
      <c r="AB1" t="s">
        <v>141</v>
      </c>
      <c r="AC1" t="s">
        <v>142</v>
      </c>
      <c r="AD1" t="s">
        <v>143</v>
      </c>
      <c r="AE1" t="s">
        <v>144</v>
      </c>
      <c r="AF1" t="s">
        <v>145</v>
      </c>
      <c r="AG1" t="s">
        <v>146</v>
      </c>
      <c r="AH1" t="s">
        <v>147</v>
      </c>
      <c r="AI1" t="s">
        <v>148</v>
      </c>
      <c r="AJ1" t="s">
        <v>149</v>
      </c>
      <c r="AK1" t="s">
        <v>150</v>
      </c>
      <c r="AL1" t="s">
        <v>151</v>
      </c>
      <c r="AM1" t="s">
        <v>152</v>
      </c>
      <c r="AN1" t="s">
        <v>153</v>
      </c>
      <c r="AO1" t="s">
        <v>154</v>
      </c>
      <c r="AP1" t="s">
        <v>155</v>
      </c>
      <c r="AQ1" t="s">
        <v>156</v>
      </c>
      <c r="AR1" t="s">
        <v>157</v>
      </c>
      <c r="AS1" t="s">
        <v>158</v>
      </c>
      <c r="AT1" t="s">
        <v>159</v>
      </c>
      <c r="AU1" t="s">
        <v>39</v>
      </c>
      <c r="AV1" t="s">
        <v>40</v>
      </c>
      <c r="AW1" t="s">
        <v>41</v>
      </c>
      <c r="AX1" t="s">
        <v>42</v>
      </c>
      <c r="AY1" t="s">
        <v>43</v>
      </c>
      <c r="AZ1" t="s">
        <v>44</v>
      </c>
      <c r="BA1" t="s">
        <v>45</v>
      </c>
      <c r="BB1" t="s">
        <v>46</v>
      </c>
      <c r="BC1" t="s">
        <v>47</v>
      </c>
      <c r="BD1" t="s">
        <v>48</v>
      </c>
      <c r="BE1" t="s">
        <v>49</v>
      </c>
      <c r="BF1" t="s">
        <v>50</v>
      </c>
      <c r="BG1" t="s">
        <v>51</v>
      </c>
      <c r="BH1" t="s">
        <v>52</v>
      </c>
      <c r="BI1" t="s">
        <v>53</v>
      </c>
      <c r="BJ1" t="s">
        <v>54</v>
      </c>
      <c r="BK1" t="s">
        <v>55</v>
      </c>
      <c r="BL1" t="s">
        <v>56</v>
      </c>
      <c r="BM1" t="s">
        <v>57</v>
      </c>
      <c r="BN1" t="s">
        <v>58</v>
      </c>
    </row>
  </sheetData>
  <phoneticPr fontId="0" type="noConversion"/>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32"/>
  <sheetViews>
    <sheetView tabSelected="1" zoomScale="150" zoomScaleNormal="200" zoomScalePageLayoutView="200" workbookViewId="0">
      <pane xSplit="3" ySplit="4" topLeftCell="D122" activePane="bottomRight" state="frozen"/>
      <selection pane="topRight" activeCell="C1" sqref="C1"/>
      <selection pane="bottomLeft" activeCell="A6" sqref="A6"/>
      <selection pane="bottomRight" activeCell="N4" sqref="N4"/>
    </sheetView>
  </sheetViews>
  <sheetFormatPr baseColWidth="10" defaultColWidth="10.19921875" defaultRowHeight="13.25" customHeight="1" x14ac:dyDescent="0.15"/>
  <cols>
    <col min="1" max="1" width="10.19921875" style="4"/>
    <col min="2" max="2" width="11.796875" style="4" customWidth="1"/>
    <col min="3" max="3" width="7.59765625" style="6" customWidth="1"/>
    <col min="4" max="4" width="6.3984375" style="6" customWidth="1"/>
    <col min="5" max="5" width="8.19921875" style="7" customWidth="1"/>
    <col min="6" max="6" width="8" style="5" customWidth="1"/>
    <col min="7" max="7" width="7.796875" style="5" customWidth="1"/>
    <col min="8" max="8" width="7.59765625" style="15" customWidth="1"/>
    <col min="9" max="10" width="7" style="15" customWidth="1"/>
    <col min="11" max="11" width="7.19921875" style="8" customWidth="1"/>
    <col min="12" max="12" width="7.59765625" style="16" customWidth="1"/>
    <col min="13" max="13" width="6.3984375" style="16" customWidth="1"/>
    <col min="14" max="14" width="6.3984375" style="18" customWidth="1"/>
    <col min="15" max="15" width="6.3984375" style="19" customWidth="1"/>
    <col min="16" max="16" width="17.19921875" style="16" customWidth="1"/>
    <col min="17" max="16384" width="10.19921875" style="4"/>
  </cols>
  <sheetData>
    <row r="1" spans="1:27" s="24" customFormat="1" ht="13.25" customHeight="1" x14ac:dyDescent="0.2">
      <c r="C1" s="26" t="s">
        <v>226</v>
      </c>
      <c r="D1" s="26"/>
      <c r="E1" s="27"/>
      <c r="F1" s="28"/>
      <c r="G1" s="28"/>
      <c r="H1" s="29"/>
      <c r="I1" s="29"/>
      <c r="J1" s="29"/>
      <c r="K1" s="30"/>
      <c r="L1" s="31"/>
      <c r="M1" s="31"/>
      <c r="N1" s="32"/>
      <c r="O1" s="33"/>
      <c r="P1" s="31"/>
    </row>
    <row r="2" spans="1:27" s="24" customFormat="1" ht="13.25" customHeight="1" x14ac:dyDescent="0.15">
      <c r="C2" s="34"/>
      <c r="D2" s="33" t="s">
        <v>22</v>
      </c>
      <c r="E2" s="33" t="s">
        <v>108</v>
      </c>
      <c r="F2" s="24" t="s">
        <v>105</v>
      </c>
      <c r="G2" s="24" t="s">
        <v>109</v>
      </c>
      <c r="H2" s="35" t="s">
        <v>227</v>
      </c>
      <c r="I2" s="31" t="s">
        <v>105</v>
      </c>
      <c r="J2" s="31" t="s">
        <v>109</v>
      </c>
      <c r="K2" s="33" t="s">
        <v>21</v>
      </c>
      <c r="L2" s="31" t="s">
        <v>10</v>
      </c>
      <c r="M2" s="31" t="s">
        <v>11</v>
      </c>
      <c r="N2" s="32"/>
      <c r="O2" s="33"/>
      <c r="P2" s="31" t="s">
        <v>309</v>
      </c>
      <c r="Q2" s="24" t="s">
        <v>223</v>
      </c>
    </row>
    <row r="3" spans="1:27" s="24" customFormat="1" ht="13.25" customHeight="1" x14ac:dyDescent="0.15">
      <c r="C3" s="34" t="s">
        <v>103</v>
      </c>
      <c r="D3" s="33" t="s">
        <v>24</v>
      </c>
      <c r="E3" s="33" t="s">
        <v>107</v>
      </c>
      <c r="F3" s="24" t="s">
        <v>113</v>
      </c>
      <c r="G3" s="24" t="s">
        <v>107</v>
      </c>
      <c r="H3" s="35" t="s">
        <v>112</v>
      </c>
      <c r="I3" s="31" t="s">
        <v>4</v>
      </c>
      <c r="J3" s="31" t="s">
        <v>4</v>
      </c>
      <c r="K3" s="33" t="s">
        <v>23</v>
      </c>
      <c r="L3" s="31" t="s">
        <v>12</v>
      </c>
      <c r="M3" s="31" t="s">
        <v>5</v>
      </c>
      <c r="N3" s="32" t="s">
        <v>229</v>
      </c>
      <c r="O3" s="33" t="s">
        <v>231</v>
      </c>
      <c r="P3" s="31"/>
    </row>
    <row r="4" spans="1:27" s="24" customFormat="1" ht="13.25" customHeight="1" x14ac:dyDescent="0.15">
      <c r="B4" s="13" t="s">
        <v>102</v>
      </c>
      <c r="C4" s="36" t="s">
        <v>104</v>
      </c>
      <c r="D4" s="37"/>
      <c r="E4" s="37" t="s">
        <v>111</v>
      </c>
      <c r="F4" s="13" t="s">
        <v>106</v>
      </c>
      <c r="G4" s="13" t="s">
        <v>106</v>
      </c>
      <c r="H4" s="38" t="s">
        <v>110</v>
      </c>
      <c r="I4" s="39" t="s">
        <v>106</v>
      </c>
      <c r="J4" s="39" t="s">
        <v>106</v>
      </c>
      <c r="K4" s="37" t="s">
        <v>25</v>
      </c>
      <c r="L4" s="31" t="s">
        <v>13</v>
      </c>
      <c r="M4" s="31" t="s">
        <v>15</v>
      </c>
      <c r="N4" s="32" t="s">
        <v>230</v>
      </c>
      <c r="O4" s="33" t="s">
        <v>232</v>
      </c>
      <c r="P4" s="31"/>
      <c r="Q4" s="24" t="s">
        <v>276</v>
      </c>
    </row>
    <row r="5" spans="1:27" s="24" customFormat="1" ht="13.25" customHeight="1" x14ac:dyDescent="0.15">
      <c r="A5" s="24">
        <v>1</v>
      </c>
      <c r="B5" s="13" t="s">
        <v>63</v>
      </c>
      <c r="C5" s="36">
        <v>290992</v>
      </c>
      <c r="D5" s="37">
        <v>1</v>
      </c>
      <c r="E5" s="37">
        <v>12</v>
      </c>
      <c r="F5" s="40">
        <v>58.6</v>
      </c>
      <c r="G5" s="25">
        <v>53.7</v>
      </c>
      <c r="H5" s="35">
        <v>2.242</v>
      </c>
      <c r="I5" s="31">
        <f>70/200*100</f>
        <v>35</v>
      </c>
      <c r="J5" s="31">
        <f>1347636/3952277*100</f>
        <v>34.097711268719273</v>
      </c>
      <c r="K5" s="39">
        <v>6</v>
      </c>
      <c r="L5" s="31" t="s">
        <v>6</v>
      </c>
      <c r="M5" s="31" t="s">
        <v>7</v>
      </c>
      <c r="N5" s="32" t="s">
        <v>6</v>
      </c>
      <c r="O5" s="33">
        <v>0</v>
      </c>
      <c r="P5" s="31" t="s">
        <v>8</v>
      </c>
      <c r="Q5" s="41" t="s">
        <v>198</v>
      </c>
    </row>
    <row r="6" spans="1:27" s="24" customFormat="1" ht="13.25" customHeight="1" x14ac:dyDescent="0.15">
      <c r="B6" s="13" t="s">
        <v>63</v>
      </c>
      <c r="C6" s="36">
        <v>50908</v>
      </c>
      <c r="D6" s="24">
        <v>2</v>
      </c>
      <c r="E6" s="37">
        <v>5</v>
      </c>
      <c r="F6" s="40">
        <v>86.818181818181799</v>
      </c>
      <c r="G6" s="25">
        <v>81.64</v>
      </c>
      <c r="H6" s="35">
        <v>1.31</v>
      </c>
      <c r="I6" s="31">
        <f>16/2.2</f>
        <v>7.2727272727272725</v>
      </c>
      <c r="J6" s="31">
        <v>10.39</v>
      </c>
      <c r="K6" s="31">
        <v>5.5</v>
      </c>
      <c r="L6" s="31" t="s">
        <v>6</v>
      </c>
      <c r="M6" s="31" t="s">
        <v>6</v>
      </c>
      <c r="N6" s="32" t="s">
        <v>9</v>
      </c>
      <c r="O6" s="33">
        <v>0</v>
      </c>
      <c r="P6" s="31" t="s">
        <v>162</v>
      </c>
      <c r="Q6" s="41" t="s">
        <v>199</v>
      </c>
    </row>
    <row r="7" spans="1:27" s="24" customFormat="1" ht="13.25" customHeight="1" x14ac:dyDescent="0.15">
      <c r="B7" s="13" t="s">
        <v>63</v>
      </c>
      <c r="C7" s="36">
        <v>310812</v>
      </c>
      <c r="D7" s="24">
        <v>3</v>
      </c>
      <c r="E7" s="37">
        <v>5</v>
      </c>
      <c r="F7" s="40">
        <v>79.545454545454504</v>
      </c>
      <c r="G7" s="25">
        <v>71.849999999999994</v>
      </c>
      <c r="H7" s="38">
        <v>1.53</v>
      </c>
      <c r="I7" s="31">
        <v>14.545454545454501</v>
      </c>
      <c r="J7" s="31">
        <v>18.670000000000002</v>
      </c>
      <c r="K7" s="31">
        <v>5.5</v>
      </c>
      <c r="L7" s="31" t="s">
        <v>6</v>
      </c>
      <c r="M7" s="31" t="s">
        <v>6</v>
      </c>
      <c r="N7" s="32" t="s">
        <v>9</v>
      </c>
      <c r="O7" s="33">
        <v>0</v>
      </c>
      <c r="P7" s="31" t="s">
        <v>162</v>
      </c>
      <c r="Q7" s="24" t="s">
        <v>234</v>
      </c>
    </row>
    <row r="8" spans="1:27" s="24" customFormat="1" ht="13.25" customHeight="1" x14ac:dyDescent="0.15">
      <c r="A8" s="24">
        <v>2</v>
      </c>
      <c r="B8" s="13" t="s">
        <v>65</v>
      </c>
      <c r="C8" s="36">
        <v>170291</v>
      </c>
      <c r="D8" s="37">
        <v>1</v>
      </c>
      <c r="E8" s="37">
        <v>12</v>
      </c>
      <c r="F8" s="40">
        <v>18.8</v>
      </c>
      <c r="G8" s="25">
        <v>18.899999999999999</v>
      </c>
      <c r="H8" s="38">
        <v>8.7609999999999992</v>
      </c>
      <c r="I8" s="31">
        <f>9/0.64</f>
        <v>14.0625</v>
      </c>
      <c r="J8" s="31">
        <v>18.899999999999999</v>
      </c>
      <c r="K8" s="39">
        <v>2.5</v>
      </c>
      <c r="L8" s="31" t="s">
        <v>6</v>
      </c>
      <c r="M8" s="31" t="s">
        <v>9</v>
      </c>
      <c r="N8" s="32" t="s">
        <v>6</v>
      </c>
      <c r="O8" s="33">
        <v>0</v>
      </c>
      <c r="P8" s="31"/>
      <c r="Q8" s="42" t="s">
        <v>228</v>
      </c>
      <c r="T8" s="43"/>
      <c r="U8" s="43"/>
      <c r="V8" s="43"/>
      <c r="W8" s="43"/>
    </row>
    <row r="9" spans="1:27" s="24" customFormat="1" ht="13.25" customHeight="1" x14ac:dyDescent="0.15">
      <c r="B9" s="13" t="s">
        <v>65</v>
      </c>
      <c r="C9" s="36">
        <v>280395</v>
      </c>
      <c r="D9" s="37">
        <v>2</v>
      </c>
      <c r="E9" s="37">
        <v>18</v>
      </c>
      <c r="F9" s="44">
        <v>25.3</v>
      </c>
      <c r="G9" s="44">
        <v>14.6</v>
      </c>
      <c r="H9" s="38">
        <v>6.6989999999999998</v>
      </c>
      <c r="I9" s="31">
        <f>18/0.83</f>
        <v>21.686746987951807</v>
      </c>
      <c r="J9" s="31">
        <v>13.4</v>
      </c>
      <c r="K9" s="39">
        <v>2.5</v>
      </c>
      <c r="L9" s="31" t="s">
        <v>6</v>
      </c>
      <c r="M9" s="31" t="s">
        <v>9</v>
      </c>
      <c r="N9" s="32" t="s">
        <v>9</v>
      </c>
      <c r="O9" s="33">
        <v>0</v>
      </c>
      <c r="P9" s="31"/>
      <c r="Q9" s="24" t="s">
        <v>200</v>
      </c>
      <c r="T9" s="43"/>
      <c r="U9" s="43"/>
      <c r="V9" s="43"/>
      <c r="W9" s="43"/>
      <c r="X9" s="43"/>
      <c r="Y9" s="43"/>
      <c r="Z9" s="43"/>
      <c r="AA9" s="43"/>
    </row>
    <row r="10" spans="1:27" s="24" customFormat="1" ht="13.25" customHeight="1" x14ac:dyDescent="0.15">
      <c r="B10" s="13" t="s">
        <v>65</v>
      </c>
      <c r="C10" s="36">
        <v>300399</v>
      </c>
      <c r="D10" s="37">
        <v>3</v>
      </c>
      <c r="E10" s="37">
        <v>16</v>
      </c>
      <c r="F10" s="44">
        <v>32.5</v>
      </c>
      <c r="G10" s="44">
        <v>22.7</v>
      </c>
      <c r="H10" s="38">
        <v>5.93</v>
      </c>
      <c r="I10" s="31">
        <f>11/0.83</f>
        <v>13.253012048192772</v>
      </c>
      <c r="J10" s="31">
        <v>11.6</v>
      </c>
      <c r="K10" s="39">
        <v>2</v>
      </c>
      <c r="L10" s="45" t="s">
        <v>9</v>
      </c>
      <c r="M10" s="31" t="s">
        <v>6</v>
      </c>
      <c r="N10" s="32" t="s">
        <v>9</v>
      </c>
      <c r="O10" s="33">
        <v>0</v>
      </c>
      <c r="P10" s="31"/>
      <c r="Q10" s="24" t="s">
        <v>233</v>
      </c>
    </row>
    <row r="11" spans="1:27" s="24" customFormat="1" ht="13.25" customHeight="1" x14ac:dyDescent="0.15">
      <c r="B11" s="13" t="s">
        <v>65</v>
      </c>
      <c r="C11" s="36">
        <v>300303</v>
      </c>
      <c r="D11" s="37">
        <v>4</v>
      </c>
      <c r="E11" s="37">
        <v>12</v>
      </c>
      <c r="F11" s="44">
        <f>31/0.83</f>
        <v>37.349397590361448</v>
      </c>
      <c r="G11" s="44">
        <v>40.380000000000003</v>
      </c>
      <c r="H11" s="38">
        <v>4.79</v>
      </c>
      <c r="I11" s="31">
        <f>15/0.83</f>
        <v>18.072289156626507</v>
      </c>
      <c r="J11" s="31">
        <v>17.3</v>
      </c>
      <c r="K11" s="39">
        <v>2</v>
      </c>
      <c r="L11" s="31" t="s">
        <v>6</v>
      </c>
      <c r="M11" s="31" t="s">
        <v>9</v>
      </c>
      <c r="N11" s="32" t="s">
        <v>9</v>
      </c>
      <c r="O11" s="33">
        <v>0</v>
      </c>
      <c r="P11" s="31"/>
      <c r="Q11" s="24" t="s">
        <v>201</v>
      </c>
    </row>
    <row r="12" spans="1:27" s="24" customFormat="1" ht="13.25" customHeight="1" x14ac:dyDescent="0.15">
      <c r="B12" s="13" t="s">
        <v>65</v>
      </c>
      <c r="C12" s="36">
        <v>310307</v>
      </c>
      <c r="D12" s="37">
        <v>5</v>
      </c>
      <c r="E12" s="37">
        <v>12</v>
      </c>
      <c r="F12" s="44">
        <v>42.2</v>
      </c>
      <c r="G12" s="44" t="s">
        <v>7</v>
      </c>
      <c r="H12" s="38">
        <v>3.89</v>
      </c>
      <c r="I12" s="31">
        <f>20/0.83</f>
        <v>24.096385542168676</v>
      </c>
      <c r="J12" s="31" t="s">
        <v>7</v>
      </c>
      <c r="K12" s="39">
        <v>2</v>
      </c>
      <c r="L12" s="31" t="s">
        <v>9</v>
      </c>
      <c r="M12" s="31" t="s">
        <v>6</v>
      </c>
      <c r="N12" s="32" t="s">
        <v>9</v>
      </c>
      <c r="O12" s="33">
        <v>0</v>
      </c>
      <c r="P12" s="31"/>
      <c r="Q12" s="24" t="s">
        <v>235</v>
      </c>
    </row>
    <row r="13" spans="1:27" s="24" customFormat="1" ht="13.25" customHeight="1" x14ac:dyDescent="0.15">
      <c r="B13" s="13" t="s">
        <v>65</v>
      </c>
      <c r="C13" s="36">
        <v>300411</v>
      </c>
      <c r="D13" s="37">
        <v>6</v>
      </c>
      <c r="E13" s="37">
        <v>8</v>
      </c>
      <c r="F13" s="44">
        <v>49.397590361445801</v>
      </c>
      <c r="G13" s="44">
        <v>33.35</v>
      </c>
      <c r="H13" s="38">
        <v>2.64</v>
      </c>
      <c r="I13" s="31">
        <v>36.1</v>
      </c>
      <c r="J13" s="31">
        <v>26.93</v>
      </c>
      <c r="K13" s="39">
        <v>2</v>
      </c>
      <c r="L13" s="31" t="s">
        <v>6</v>
      </c>
      <c r="M13" s="31" t="s">
        <v>6</v>
      </c>
      <c r="N13" s="32" t="s">
        <v>6</v>
      </c>
      <c r="O13" s="33">
        <v>0</v>
      </c>
      <c r="P13" s="31"/>
      <c r="Q13" s="24" t="s">
        <v>236</v>
      </c>
    </row>
    <row r="14" spans="1:27" s="24" customFormat="1" ht="13.25" customHeight="1" x14ac:dyDescent="0.15">
      <c r="B14" s="13" t="s">
        <v>65</v>
      </c>
      <c r="C14" s="36">
        <v>260415</v>
      </c>
      <c r="D14" s="37">
        <v>7</v>
      </c>
      <c r="E14" s="37">
        <v>11</v>
      </c>
      <c r="F14" s="44">
        <v>39.700000000000003</v>
      </c>
      <c r="G14" s="40">
        <v>30.19</v>
      </c>
      <c r="H14" s="38"/>
      <c r="I14" s="31">
        <v>15.6</v>
      </c>
      <c r="J14" s="32">
        <v>14.35</v>
      </c>
      <c r="K14" s="39">
        <v>2</v>
      </c>
      <c r="L14" s="31" t="s">
        <v>9</v>
      </c>
      <c r="M14" s="31" t="s">
        <v>7</v>
      </c>
      <c r="N14" s="32" t="s">
        <v>9</v>
      </c>
      <c r="O14" s="33">
        <v>0</v>
      </c>
      <c r="P14" s="31"/>
    </row>
    <row r="15" spans="1:27" s="24" customFormat="1" ht="13.25" customHeight="1" x14ac:dyDescent="0.15">
      <c r="A15" s="24">
        <v>3</v>
      </c>
      <c r="B15" s="13" t="s">
        <v>66</v>
      </c>
      <c r="C15" s="36">
        <v>151094</v>
      </c>
      <c r="D15" s="37">
        <v>1</v>
      </c>
      <c r="E15" s="37">
        <v>2</v>
      </c>
      <c r="F15" s="40">
        <v>67.5</v>
      </c>
      <c r="G15" s="25">
        <v>54.7</v>
      </c>
      <c r="H15" s="38">
        <v>1.782</v>
      </c>
      <c r="I15" s="31">
        <f>13/0.4</f>
        <v>32.5</v>
      </c>
      <c r="J15" s="31">
        <v>37.700000000000003</v>
      </c>
      <c r="K15" s="39">
        <v>2.5</v>
      </c>
      <c r="L15" s="31" t="s">
        <v>6</v>
      </c>
      <c r="M15" s="31" t="s">
        <v>6</v>
      </c>
      <c r="N15" s="32" t="s">
        <v>7</v>
      </c>
      <c r="O15" s="33">
        <v>1</v>
      </c>
      <c r="Q15" s="24" t="s">
        <v>239</v>
      </c>
    </row>
    <row r="16" spans="1:27" s="24" customFormat="1" ht="13.25" customHeight="1" x14ac:dyDescent="0.15">
      <c r="B16" s="13" t="s">
        <v>66</v>
      </c>
      <c r="C16" s="36">
        <v>241099</v>
      </c>
      <c r="D16" s="37">
        <v>2</v>
      </c>
      <c r="E16" s="37">
        <v>3</v>
      </c>
      <c r="F16" s="40">
        <v>82.5</v>
      </c>
      <c r="G16" s="25">
        <v>54.2</v>
      </c>
      <c r="H16" s="38">
        <v>1.42</v>
      </c>
      <c r="I16" s="31">
        <f>6/0.4</f>
        <v>15</v>
      </c>
      <c r="J16" s="31">
        <v>25.95</v>
      </c>
      <c r="K16" s="39">
        <v>2</v>
      </c>
      <c r="L16" s="31" t="s">
        <v>6</v>
      </c>
      <c r="M16" s="31" t="s">
        <v>6</v>
      </c>
      <c r="N16" s="32" t="s">
        <v>7</v>
      </c>
      <c r="O16" s="33">
        <v>1</v>
      </c>
    </row>
    <row r="17" spans="1:17" s="24" customFormat="1" ht="13.25" customHeight="1" x14ac:dyDescent="0.15">
      <c r="B17" s="13" t="s">
        <v>66</v>
      </c>
      <c r="C17" s="36">
        <v>101004</v>
      </c>
      <c r="D17" s="37">
        <v>3</v>
      </c>
      <c r="E17" s="37">
        <v>3</v>
      </c>
      <c r="F17" s="40">
        <v>77.2</v>
      </c>
      <c r="G17" s="25">
        <v>52</v>
      </c>
      <c r="H17" s="38">
        <v>1.56</v>
      </c>
      <c r="I17" s="31">
        <f>12/0.57</f>
        <v>21.05263157894737</v>
      </c>
      <c r="J17" s="31">
        <v>26.06</v>
      </c>
      <c r="K17" s="39">
        <v>2</v>
      </c>
      <c r="L17" s="31" t="s">
        <v>6</v>
      </c>
      <c r="M17" s="31" t="s">
        <v>6</v>
      </c>
      <c r="N17" s="32" t="s">
        <v>7</v>
      </c>
      <c r="O17" s="33">
        <v>1</v>
      </c>
    </row>
    <row r="18" spans="1:17" s="24" customFormat="1" ht="13.25" customHeight="1" x14ac:dyDescent="0.15">
      <c r="B18" s="13" t="s">
        <v>26</v>
      </c>
      <c r="C18" s="36">
        <v>161009</v>
      </c>
      <c r="D18" s="37">
        <v>4</v>
      </c>
      <c r="E18" s="37">
        <v>4</v>
      </c>
      <c r="F18" s="40">
        <f>45/0.63</f>
        <v>71.428571428571431</v>
      </c>
      <c r="G18" s="25">
        <f>290099/5446.47</f>
        <v>53.263673535335727</v>
      </c>
      <c r="H18" s="38">
        <v>1.56</v>
      </c>
      <c r="I18" s="31">
        <f>6/0.63</f>
        <v>9.5238095238095237</v>
      </c>
      <c r="J18" s="46">
        <f>119509/5446.47</f>
        <v>21.942469158923117</v>
      </c>
      <c r="K18" s="39">
        <v>2</v>
      </c>
      <c r="L18" s="31" t="s">
        <v>224</v>
      </c>
      <c r="M18" s="31" t="s">
        <v>6</v>
      </c>
      <c r="N18" s="32" t="s">
        <v>7</v>
      </c>
      <c r="O18" s="33">
        <v>1</v>
      </c>
      <c r="P18" s="31" t="s">
        <v>163</v>
      </c>
      <c r="Q18" s="24" t="s">
        <v>225</v>
      </c>
    </row>
    <row r="19" spans="1:17" s="24" customFormat="1" ht="13.25" customHeight="1" x14ac:dyDescent="0.15">
      <c r="B19" s="13" t="s">
        <v>66</v>
      </c>
      <c r="C19" s="36">
        <v>241014</v>
      </c>
      <c r="D19" s="37">
        <v>5</v>
      </c>
      <c r="E19" s="37">
        <v>3</v>
      </c>
      <c r="F19" s="40">
        <v>64.91</v>
      </c>
      <c r="G19" s="25">
        <v>46.46</v>
      </c>
      <c r="H19" s="38">
        <v>1.95</v>
      </c>
      <c r="I19" s="31">
        <v>29.82</v>
      </c>
      <c r="J19" s="46">
        <v>30</v>
      </c>
      <c r="K19" s="39">
        <v>2.5</v>
      </c>
      <c r="L19" s="31" t="s">
        <v>6</v>
      </c>
      <c r="M19" s="31" t="s">
        <v>6</v>
      </c>
      <c r="N19" s="32" t="s">
        <v>7</v>
      </c>
      <c r="O19" s="33">
        <v>1</v>
      </c>
      <c r="P19" s="31"/>
      <c r="Q19" s="24" t="s">
        <v>240</v>
      </c>
    </row>
    <row r="20" spans="1:17" s="24" customFormat="1" ht="13.25" customHeight="1" x14ac:dyDescent="0.15">
      <c r="A20" s="24">
        <v>4</v>
      </c>
      <c r="B20" s="13" t="s">
        <v>164</v>
      </c>
      <c r="C20" s="36">
        <v>240592</v>
      </c>
      <c r="D20" s="37">
        <v>1</v>
      </c>
      <c r="E20" s="37">
        <v>10</v>
      </c>
      <c r="F20" s="40">
        <v>72.900000000000006</v>
      </c>
      <c r="G20" s="25">
        <v>48.5</v>
      </c>
      <c r="H20" s="38">
        <v>1.821</v>
      </c>
      <c r="I20" s="31">
        <v>11.21</v>
      </c>
      <c r="J20" s="31">
        <v>12</v>
      </c>
      <c r="K20" s="39">
        <v>5</v>
      </c>
      <c r="L20" s="31" t="s">
        <v>6</v>
      </c>
      <c r="M20" s="31" t="s">
        <v>6</v>
      </c>
      <c r="N20" s="32" t="s">
        <v>9</v>
      </c>
      <c r="O20" s="33">
        <v>0</v>
      </c>
      <c r="P20" s="31"/>
      <c r="Q20" s="24" t="s">
        <v>203</v>
      </c>
    </row>
    <row r="21" spans="1:17" s="24" customFormat="1" ht="13.25" customHeight="1" x14ac:dyDescent="0.15">
      <c r="B21" s="13" t="s">
        <v>164</v>
      </c>
      <c r="C21" s="36">
        <v>110597</v>
      </c>
      <c r="D21" s="37">
        <v>2</v>
      </c>
      <c r="E21" s="37">
        <v>4</v>
      </c>
      <c r="F21" s="44">
        <v>91</v>
      </c>
      <c r="G21" s="44">
        <v>68.61</v>
      </c>
      <c r="H21" s="38">
        <v>1.202</v>
      </c>
      <c r="I21" s="31">
        <f>6/1.11</f>
        <v>5.4054054054054053</v>
      </c>
      <c r="J21" s="47">
        <v>10.11</v>
      </c>
      <c r="K21" s="39">
        <v>4.5</v>
      </c>
      <c r="L21" s="31" t="s">
        <v>6</v>
      </c>
      <c r="M21" s="31" t="s">
        <v>6</v>
      </c>
      <c r="N21" s="32" t="s">
        <v>9</v>
      </c>
      <c r="O21" s="33">
        <v>0</v>
      </c>
      <c r="P21" s="31"/>
      <c r="Q21" s="24" t="s">
        <v>204</v>
      </c>
    </row>
    <row r="22" spans="1:17" s="24" customFormat="1" ht="13.25" customHeight="1" x14ac:dyDescent="0.15">
      <c r="B22" s="13" t="s">
        <v>164</v>
      </c>
      <c r="C22" s="36">
        <v>50502</v>
      </c>
      <c r="D22" s="37">
        <v>3</v>
      </c>
      <c r="E22" s="37">
        <v>13</v>
      </c>
      <c r="F22" s="44">
        <f>57/111*100</f>
        <v>51.351351351351347</v>
      </c>
      <c r="G22" s="44">
        <v>59.5</v>
      </c>
      <c r="H22" s="38">
        <v>3.3</v>
      </c>
      <c r="I22" s="31">
        <f>17/1.11</f>
        <v>15.315315315315313</v>
      </c>
      <c r="J22" s="47">
        <v>12.6</v>
      </c>
      <c r="K22" s="39">
        <v>4</v>
      </c>
      <c r="L22" s="31" t="s">
        <v>6</v>
      </c>
      <c r="M22" s="31" t="s">
        <v>6</v>
      </c>
      <c r="N22" s="32" t="s">
        <v>9</v>
      </c>
      <c r="O22" s="33">
        <v>0</v>
      </c>
      <c r="P22" s="31"/>
      <c r="Q22" s="24" t="s">
        <v>237</v>
      </c>
    </row>
    <row r="23" spans="1:17" s="24" customFormat="1" ht="13.25" customHeight="1" x14ac:dyDescent="0.15">
      <c r="B23" s="13" t="s">
        <v>164</v>
      </c>
      <c r="C23" s="36">
        <v>60507</v>
      </c>
      <c r="D23" s="37">
        <v>4</v>
      </c>
      <c r="E23" s="37">
        <v>13</v>
      </c>
      <c r="F23" s="44">
        <f>73/111*100</f>
        <v>65.765765765765778</v>
      </c>
      <c r="G23" s="44">
        <v>58.9</v>
      </c>
      <c r="H23" s="38">
        <v>2.2000000000000002</v>
      </c>
      <c r="I23" s="31">
        <f>14/1.11</f>
        <v>12.612612612612612</v>
      </c>
      <c r="J23" s="47">
        <v>10.7</v>
      </c>
      <c r="K23" s="39">
        <v>4</v>
      </c>
      <c r="L23" s="31" t="s">
        <v>6</v>
      </c>
      <c r="M23" s="31" t="s">
        <v>6</v>
      </c>
      <c r="N23" s="32" t="s">
        <v>9</v>
      </c>
      <c r="O23" s="33">
        <v>0</v>
      </c>
      <c r="P23" s="31"/>
      <c r="Q23" s="24" t="s">
        <v>238</v>
      </c>
    </row>
    <row r="24" spans="1:17" s="24" customFormat="1" ht="13.25" customHeight="1" x14ac:dyDescent="0.15">
      <c r="B24" s="13" t="s">
        <v>164</v>
      </c>
      <c r="C24" s="36">
        <v>21212</v>
      </c>
      <c r="D24" s="37">
        <v>5</v>
      </c>
      <c r="E24" s="37">
        <v>13</v>
      </c>
      <c r="F24" s="44">
        <v>55.12</v>
      </c>
      <c r="G24" s="44">
        <v>48.66</v>
      </c>
      <c r="H24" s="38">
        <v>2.84</v>
      </c>
      <c r="I24" s="31">
        <v>14.96</v>
      </c>
      <c r="J24" s="47">
        <v>11.24</v>
      </c>
      <c r="K24" s="39">
        <v>4</v>
      </c>
      <c r="L24" s="31" t="s">
        <v>6</v>
      </c>
      <c r="M24" s="31" t="s">
        <v>6</v>
      </c>
      <c r="N24" s="32" t="s">
        <v>9</v>
      </c>
      <c r="O24" s="33">
        <v>0</v>
      </c>
      <c r="P24" s="31"/>
    </row>
    <row r="25" spans="1:17" s="24" customFormat="1" ht="13.25" customHeight="1" x14ac:dyDescent="0.15">
      <c r="B25" s="13" t="s">
        <v>164</v>
      </c>
      <c r="C25" s="36">
        <v>291115</v>
      </c>
      <c r="D25" s="37">
        <v>6</v>
      </c>
      <c r="E25" s="37">
        <v>14</v>
      </c>
      <c r="F25" s="44">
        <v>43.3</v>
      </c>
      <c r="G25" s="44">
        <v>51.3</v>
      </c>
      <c r="H25" s="38"/>
      <c r="I25" s="31">
        <v>25.9</v>
      </c>
      <c r="J25" s="47">
        <v>20.5</v>
      </c>
      <c r="K25" s="39">
        <v>4.5</v>
      </c>
      <c r="L25" s="31" t="s">
        <v>6</v>
      </c>
      <c r="M25" s="31" t="s">
        <v>9</v>
      </c>
      <c r="N25" s="32" t="s">
        <v>6</v>
      </c>
      <c r="O25" s="33">
        <v>0</v>
      </c>
      <c r="P25" s="31"/>
      <c r="Q25" s="24" t="s">
        <v>289</v>
      </c>
    </row>
    <row r="26" spans="1:17" s="24" customFormat="1" ht="13.25" customHeight="1" x14ac:dyDescent="0.15">
      <c r="A26" s="24">
        <v>5</v>
      </c>
      <c r="B26" s="13" t="s">
        <v>67</v>
      </c>
      <c r="C26" s="36">
        <v>290693</v>
      </c>
      <c r="D26" s="37">
        <v>1</v>
      </c>
      <c r="E26" s="37">
        <v>2</v>
      </c>
      <c r="F26" s="40">
        <v>80.2</v>
      </c>
      <c r="G26" s="25">
        <v>72.55</v>
      </c>
      <c r="H26" s="38">
        <v>1.4650000000000001</v>
      </c>
      <c r="I26" s="31">
        <f>16/0.81</f>
        <v>19.753086419753085</v>
      </c>
      <c r="J26" s="31">
        <v>21.43</v>
      </c>
      <c r="K26" s="39">
        <v>7</v>
      </c>
      <c r="L26" s="31" t="s">
        <v>6</v>
      </c>
      <c r="M26" s="31" t="s">
        <v>7</v>
      </c>
      <c r="N26" s="32" t="s">
        <v>7</v>
      </c>
      <c r="O26" s="33">
        <v>1</v>
      </c>
      <c r="P26" s="31"/>
      <c r="Q26" s="24" t="s">
        <v>241</v>
      </c>
    </row>
    <row r="27" spans="1:17" s="24" customFormat="1" ht="13.25" customHeight="1" x14ac:dyDescent="0.15">
      <c r="B27" s="13" t="s">
        <v>165</v>
      </c>
      <c r="C27" s="36">
        <v>40705</v>
      </c>
      <c r="D27" s="37">
        <v>2</v>
      </c>
      <c r="E27" s="37">
        <v>5</v>
      </c>
      <c r="F27" s="40">
        <f>64/118*100</f>
        <v>54.237288135593218</v>
      </c>
      <c r="G27" s="40">
        <v>58.55</v>
      </c>
      <c r="H27" s="38">
        <v>2.37</v>
      </c>
      <c r="I27" s="31">
        <f>30/1.18</f>
        <v>25.423728813559322</v>
      </c>
      <c r="J27" s="31">
        <v>21.7</v>
      </c>
      <c r="K27" s="39">
        <v>4</v>
      </c>
      <c r="L27" s="31" t="s">
        <v>6</v>
      </c>
      <c r="M27" s="31" t="s">
        <v>9</v>
      </c>
      <c r="N27" s="32" t="s">
        <v>7</v>
      </c>
      <c r="O27" s="33">
        <v>1</v>
      </c>
      <c r="P27" s="31"/>
      <c r="Q27" s="24" t="s">
        <v>242</v>
      </c>
    </row>
    <row r="28" spans="1:17" s="24" customFormat="1" ht="13.25" customHeight="1" x14ac:dyDescent="0.15">
      <c r="B28" s="13" t="s">
        <v>166</v>
      </c>
      <c r="C28" s="34">
        <v>290705</v>
      </c>
      <c r="D28" s="37">
        <v>2</v>
      </c>
      <c r="E28" s="24">
        <v>5</v>
      </c>
      <c r="F28" s="24">
        <f>32/0.49</f>
        <v>65.306122448979593</v>
      </c>
      <c r="G28" s="40">
        <v>88.23</v>
      </c>
      <c r="H28" s="38">
        <v>2.5230000000000001</v>
      </c>
      <c r="I28" s="31">
        <f>30/0.49</f>
        <v>61.224489795918366</v>
      </c>
      <c r="J28" s="31">
        <v>8.82</v>
      </c>
      <c r="K28" s="39">
        <v>4</v>
      </c>
      <c r="L28" s="31" t="s">
        <v>6</v>
      </c>
      <c r="M28" s="31" t="s">
        <v>7</v>
      </c>
      <c r="N28" s="32" t="s">
        <v>7</v>
      </c>
      <c r="O28" s="33">
        <v>1</v>
      </c>
      <c r="P28" s="31" t="s">
        <v>310</v>
      </c>
    </row>
    <row r="29" spans="1:17" s="24" customFormat="1" ht="13.25" customHeight="1" x14ac:dyDescent="0.15">
      <c r="B29" s="13" t="s">
        <v>165</v>
      </c>
      <c r="C29" s="34">
        <v>230710</v>
      </c>
      <c r="D29" s="37">
        <v>3</v>
      </c>
      <c r="E29" s="24">
        <v>3</v>
      </c>
      <c r="F29" s="24">
        <v>80</v>
      </c>
      <c r="G29" s="40">
        <v>81.19</v>
      </c>
      <c r="H29" s="38">
        <v>1.5</v>
      </c>
      <c r="I29" s="31">
        <v>16</v>
      </c>
      <c r="J29" s="31">
        <v>11.06</v>
      </c>
      <c r="K29" s="39">
        <v>4.5</v>
      </c>
      <c r="L29" s="31" t="s">
        <v>6</v>
      </c>
      <c r="M29" s="31" t="s">
        <v>6</v>
      </c>
      <c r="N29" s="32" t="s">
        <v>7</v>
      </c>
      <c r="O29" s="33">
        <v>1</v>
      </c>
      <c r="P29" s="31" t="s">
        <v>311</v>
      </c>
      <c r="Q29" s="24" t="s">
        <v>243</v>
      </c>
    </row>
    <row r="30" spans="1:17" s="24" customFormat="1" ht="13.25" customHeight="1" x14ac:dyDescent="0.15">
      <c r="B30" s="13" t="s">
        <v>277</v>
      </c>
      <c r="C30" s="34">
        <v>280710</v>
      </c>
      <c r="D30" s="37">
        <v>3</v>
      </c>
      <c r="E30" s="24">
        <v>2</v>
      </c>
      <c r="F30" s="24" t="s">
        <v>290</v>
      </c>
      <c r="G30" s="40" t="s">
        <v>7</v>
      </c>
      <c r="H30" s="38"/>
      <c r="I30" s="31">
        <v>5.8</v>
      </c>
      <c r="J30" s="31" t="s">
        <v>7</v>
      </c>
      <c r="K30" s="39">
        <v>4.5</v>
      </c>
      <c r="L30" s="31" t="s">
        <v>6</v>
      </c>
      <c r="M30" s="31" t="s">
        <v>6</v>
      </c>
      <c r="N30" s="32" t="s">
        <v>6</v>
      </c>
      <c r="O30" s="33">
        <v>1</v>
      </c>
      <c r="P30" s="31"/>
      <c r="Q30" s="24" t="s">
        <v>291</v>
      </c>
    </row>
    <row r="31" spans="1:17" s="24" customFormat="1" ht="13.25" customHeight="1" x14ac:dyDescent="0.15">
      <c r="B31" s="13" t="s">
        <v>165</v>
      </c>
      <c r="C31" s="34">
        <v>290615</v>
      </c>
      <c r="D31" s="37">
        <v>4</v>
      </c>
      <c r="E31" s="24">
        <v>3</v>
      </c>
      <c r="F31" s="31">
        <v>77</v>
      </c>
      <c r="G31" s="40">
        <v>60.28</v>
      </c>
      <c r="H31" s="38"/>
      <c r="I31" s="31">
        <v>21</v>
      </c>
      <c r="J31" s="31">
        <v>11.16</v>
      </c>
      <c r="K31" s="39">
        <v>5.5</v>
      </c>
      <c r="L31" s="31" t="s">
        <v>6</v>
      </c>
      <c r="M31" s="31" t="s">
        <v>6</v>
      </c>
      <c r="N31" s="32" t="s">
        <v>6</v>
      </c>
      <c r="O31" s="33">
        <v>1</v>
      </c>
      <c r="P31" s="31"/>
    </row>
    <row r="32" spans="1:17" s="24" customFormat="1" ht="13.25" customHeight="1" x14ac:dyDescent="0.15">
      <c r="B32" s="13" t="s">
        <v>277</v>
      </c>
      <c r="C32" s="34">
        <v>240715</v>
      </c>
      <c r="D32" s="37">
        <v>4</v>
      </c>
      <c r="E32" s="24">
        <v>3</v>
      </c>
      <c r="F32" s="24" t="s">
        <v>7</v>
      </c>
      <c r="G32" s="40">
        <v>60.3</v>
      </c>
      <c r="H32" s="38"/>
      <c r="I32" s="31" t="s">
        <v>7</v>
      </c>
      <c r="J32" s="31">
        <v>11.2</v>
      </c>
      <c r="K32" s="39">
        <v>5.5</v>
      </c>
      <c r="L32" s="31" t="s">
        <v>6</v>
      </c>
      <c r="M32" s="31" t="s">
        <v>6</v>
      </c>
      <c r="N32" s="32" t="s">
        <v>6</v>
      </c>
      <c r="O32" s="33">
        <v>1</v>
      </c>
      <c r="P32" s="31"/>
    </row>
    <row r="33" spans="1:17" s="24" customFormat="1" ht="13.25" customHeight="1" x14ac:dyDescent="0.15">
      <c r="A33" s="24">
        <v>6</v>
      </c>
      <c r="B33" s="13" t="s">
        <v>68</v>
      </c>
      <c r="C33" s="36">
        <v>10392</v>
      </c>
      <c r="D33" s="37">
        <v>1</v>
      </c>
      <c r="E33" s="37">
        <v>4</v>
      </c>
      <c r="F33" s="40">
        <v>48.9</v>
      </c>
      <c r="G33" s="25">
        <v>45.5</v>
      </c>
      <c r="H33" s="38">
        <v>2.544</v>
      </c>
      <c r="I33" s="31">
        <f>68/1.8</f>
        <v>37.777777777777779</v>
      </c>
      <c r="J33" s="31">
        <v>35.5</v>
      </c>
      <c r="K33" s="39">
        <v>5.5</v>
      </c>
      <c r="L33" s="31" t="s">
        <v>6</v>
      </c>
      <c r="M33" s="31" t="s">
        <v>6</v>
      </c>
      <c r="N33" s="32" t="s">
        <v>6</v>
      </c>
      <c r="O33" s="33">
        <v>0</v>
      </c>
      <c r="P33" s="31"/>
      <c r="Q33" s="24" t="s">
        <v>205</v>
      </c>
    </row>
    <row r="34" spans="1:17" s="24" customFormat="1" ht="13.25" customHeight="1" x14ac:dyDescent="0.15">
      <c r="B34" s="13" t="s">
        <v>68</v>
      </c>
      <c r="C34" s="36">
        <v>180597</v>
      </c>
      <c r="D34" s="37">
        <v>2</v>
      </c>
      <c r="E34" s="37">
        <v>7</v>
      </c>
      <c r="F34" s="44">
        <v>60.6</v>
      </c>
      <c r="G34" s="44">
        <v>48</v>
      </c>
      <c r="H34" s="38">
        <v>2.323</v>
      </c>
      <c r="I34" s="31">
        <f>43/1.8</f>
        <v>23.888888888888889</v>
      </c>
      <c r="J34" s="47">
        <v>23.5</v>
      </c>
      <c r="K34" s="39">
        <v>6</v>
      </c>
      <c r="L34" s="31" t="s">
        <v>6</v>
      </c>
      <c r="M34" s="31" t="s">
        <v>6</v>
      </c>
      <c r="N34" s="32" t="s">
        <v>6</v>
      </c>
      <c r="O34" s="33">
        <v>0</v>
      </c>
      <c r="P34" s="31"/>
      <c r="Q34" s="24" t="s">
        <v>244</v>
      </c>
    </row>
    <row r="35" spans="1:17" s="24" customFormat="1" ht="13.25" customHeight="1" x14ac:dyDescent="0.15">
      <c r="B35" s="13" t="s">
        <v>68</v>
      </c>
      <c r="C35" s="36">
        <v>150902</v>
      </c>
      <c r="D35" s="37">
        <v>3</v>
      </c>
      <c r="E35" s="37">
        <v>5</v>
      </c>
      <c r="F35" s="44">
        <f>149/180*100</f>
        <v>82.777777777777771</v>
      </c>
      <c r="G35" s="44" t="s">
        <v>7</v>
      </c>
      <c r="H35" s="38">
        <v>1.43</v>
      </c>
      <c r="I35" s="31">
        <f>22/1.8</f>
        <v>12.222222222222221</v>
      </c>
      <c r="J35" s="31" t="s">
        <v>7</v>
      </c>
      <c r="K35" s="39">
        <v>6</v>
      </c>
      <c r="L35" s="31" t="s">
        <v>9</v>
      </c>
      <c r="M35" s="31" t="s">
        <v>9</v>
      </c>
      <c r="N35" s="32" t="s">
        <v>9</v>
      </c>
      <c r="O35" s="33">
        <v>0</v>
      </c>
      <c r="P35" s="31"/>
      <c r="Q35" s="24" t="s">
        <v>245</v>
      </c>
    </row>
    <row r="36" spans="1:17" s="24" customFormat="1" ht="13.25" customHeight="1" x14ac:dyDescent="0.15">
      <c r="B36" s="13" t="s">
        <v>68</v>
      </c>
      <c r="C36" s="36">
        <v>220707</v>
      </c>
      <c r="D36" s="37">
        <v>4</v>
      </c>
      <c r="E36" s="37">
        <v>5</v>
      </c>
      <c r="F36" s="40">
        <v>85</v>
      </c>
      <c r="G36" s="44" t="s">
        <v>7</v>
      </c>
      <c r="H36" s="38">
        <v>1.37</v>
      </c>
      <c r="I36" s="31">
        <v>8.8888888888888893</v>
      </c>
      <c r="J36" s="31" t="s">
        <v>7</v>
      </c>
      <c r="K36" s="39">
        <v>6</v>
      </c>
      <c r="L36" s="31" t="s">
        <v>6</v>
      </c>
      <c r="M36" s="31" t="s">
        <v>6</v>
      </c>
      <c r="N36" s="32" t="s">
        <v>9</v>
      </c>
      <c r="O36" s="33">
        <v>0</v>
      </c>
      <c r="P36" s="31"/>
      <c r="Q36" s="24" t="s">
        <v>246</v>
      </c>
    </row>
    <row r="37" spans="1:17" s="24" customFormat="1" ht="13.25" customHeight="1" x14ac:dyDescent="0.15">
      <c r="B37" s="13" t="s">
        <v>68</v>
      </c>
      <c r="C37" s="36">
        <v>300913</v>
      </c>
      <c r="D37" s="37">
        <v>5</v>
      </c>
      <c r="E37" s="37">
        <v>7</v>
      </c>
      <c r="F37" s="40">
        <v>82.22</v>
      </c>
      <c r="G37" s="40" t="s">
        <v>7</v>
      </c>
      <c r="H37" s="38">
        <v>1.45</v>
      </c>
      <c r="I37" s="31">
        <v>10</v>
      </c>
      <c r="J37" s="31" t="s">
        <v>7</v>
      </c>
      <c r="K37" s="39">
        <v>6</v>
      </c>
      <c r="L37" s="31" t="s">
        <v>202</v>
      </c>
      <c r="M37" s="31" t="s">
        <v>6</v>
      </c>
      <c r="N37" s="32" t="s">
        <v>9</v>
      </c>
      <c r="O37" s="33">
        <v>0</v>
      </c>
      <c r="P37" s="31"/>
      <c r="Q37" s="24" t="s">
        <v>297</v>
      </c>
    </row>
    <row r="38" spans="1:17" s="24" customFormat="1" ht="13.25" customHeight="1" x14ac:dyDescent="0.15">
      <c r="A38" s="24">
        <v>7</v>
      </c>
      <c r="B38" s="13" t="s">
        <v>69</v>
      </c>
      <c r="C38" s="36">
        <v>130191</v>
      </c>
      <c r="D38" s="37">
        <v>1</v>
      </c>
      <c r="E38" s="37">
        <v>2</v>
      </c>
      <c r="F38" s="40">
        <v>70.900000000000006</v>
      </c>
      <c r="G38" s="25">
        <v>66.400000000000006</v>
      </c>
      <c r="H38" s="38">
        <v>1.7030000000000001</v>
      </c>
      <c r="I38" s="31">
        <f>23/0.79</f>
        <v>29.11392405063291</v>
      </c>
      <c r="J38" s="31"/>
      <c r="K38" s="39">
        <v>2.5</v>
      </c>
      <c r="L38" s="31" t="s">
        <v>6</v>
      </c>
      <c r="M38" s="31" t="s">
        <v>6</v>
      </c>
      <c r="N38" s="32" t="s">
        <v>6</v>
      </c>
      <c r="O38" s="33">
        <v>0</v>
      </c>
      <c r="P38" s="31"/>
    </row>
    <row r="39" spans="1:17" s="24" customFormat="1" ht="13.25" customHeight="1" x14ac:dyDescent="0.15">
      <c r="B39" s="13" t="s">
        <v>69</v>
      </c>
      <c r="C39" s="36">
        <v>171295</v>
      </c>
      <c r="D39" s="37">
        <v>2</v>
      </c>
      <c r="E39" s="37">
        <v>3</v>
      </c>
      <c r="F39" s="44">
        <v>69.400000000000006</v>
      </c>
      <c r="G39" s="44">
        <v>61.3</v>
      </c>
      <c r="H39" s="38">
        <v>1.7629999999999999</v>
      </c>
      <c r="I39" s="31">
        <f>21/0.72</f>
        <v>29.166666666666668</v>
      </c>
      <c r="J39" s="31">
        <v>29.75</v>
      </c>
      <c r="K39" s="39">
        <v>1.5</v>
      </c>
      <c r="L39" s="31" t="s">
        <v>6</v>
      </c>
      <c r="M39" s="31" t="s">
        <v>6</v>
      </c>
      <c r="N39" s="32" t="s">
        <v>9</v>
      </c>
      <c r="O39" s="33">
        <v>0</v>
      </c>
      <c r="P39" s="31"/>
    </row>
    <row r="40" spans="1:17" s="24" customFormat="1" ht="13.25" customHeight="1" x14ac:dyDescent="0.15">
      <c r="B40" s="13" t="s">
        <v>69</v>
      </c>
      <c r="C40" s="36">
        <v>140101</v>
      </c>
      <c r="D40" s="37">
        <v>3</v>
      </c>
      <c r="E40" s="37">
        <v>3</v>
      </c>
      <c r="F40" s="44">
        <v>55.56</v>
      </c>
      <c r="G40" s="44">
        <v>49.5</v>
      </c>
      <c r="H40" s="38">
        <v>2.0702799999999999</v>
      </c>
      <c r="I40" s="31">
        <f>30/0.72</f>
        <v>41.666666666666671</v>
      </c>
      <c r="J40" s="31">
        <v>40.549999999999997</v>
      </c>
      <c r="K40" s="39">
        <v>1.5</v>
      </c>
      <c r="L40" s="31" t="s">
        <v>9</v>
      </c>
      <c r="M40" s="31" t="s">
        <v>9</v>
      </c>
      <c r="N40" s="32" t="s">
        <v>6</v>
      </c>
      <c r="O40" s="33">
        <v>0</v>
      </c>
      <c r="P40" s="31"/>
    </row>
    <row r="41" spans="1:17" s="24" customFormat="1" ht="13.25" customHeight="1" x14ac:dyDescent="0.15">
      <c r="B41" s="13" t="s">
        <v>69</v>
      </c>
      <c r="C41" s="36">
        <v>220106</v>
      </c>
      <c r="D41" s="37">
        <v>4</v>
      </c>
      <c r="E41" s="37">
        <v>3</v>
      </c>
      <c r="F41" s="44">
        <f>41/0.72</f>
        <v>56.94444444444445</v>
      </c>
      <c r="G41" s="44">
        <f>88965/1701.68</f>
        <v>52.28068732076536</v>
      </c>
      <c r="H41" s="38">
        <v>2.0499999999999998</v>
      </c>
      <c r="I41" s="31">
        <f>29/0.72</f>
        <v>40.277777777777779</v>
      </c>
      <c r="J41" s="31">
        <v>44.02</v>
      </c>
      <c r="K41" s="39">
        <v>1</v>
      </c>
      <c r="L41" s="31" t="s">
        <v>6</v>
      </c>
      <c r="M41" s="31" t="s">
        <v>6</v>
      </c>
      <c r="N41" s="32" t="s">
        <v>6</v>
      </c>
      <c r="O41" s="33">
        <v>0</v>
      </c>
      <c r="P41" s="31"/>
    </row>
    <row r="42" spans="1:17" s="24" customFormat="1" ht="13.25" customHeight="1" x14ac:dyDescent="0.15">
      <c r="B42" s="13" t="s">
        <v>69</v>
      </c>
      <c r="C42" s="36">
        <v>60211</v>
      </c>
      <c r="D42" s="37">
        <v>5</v>
      </c>
      <c r="E42" s="37">
        <v>3</v>
      </c>
      <c r="F42" s="44">
        <v>52.777000000000001</v>
      </c>
      <c r="G42" s="44">
        <v>52.68</v>
      </c>
      <c r="H42" s="38">
        <v>2.1</v>
      </c>
      <c r="I42" s="31">
        <f>32/0.72</f>
        <v>44.444444444444443</v>
      </c>
      <c r="J42" s="31">
        <v>42.27</v>
      </c>
      <c r="K42" s="39">
        <v>1</v>
      </c>
      <c r="L42" s="31" t="s">
        <v>6</v>
      </c>
      <c r="M42" s="31" t="s">
        <v>6</v>
      </c>
      <c r="N42" s="32" t="s">
        <v>6</v>
      </c>
      <c r="O42" s="33">
        <v>0</v>
      </c>
      <c r="P42" s="31"/>
    </row>
    <row r="43" spans="1:17" s="24" customFormat="1" ht="13.25" customHeight="1" x14ac:dyDescent="0.15">
      <c r="A43" s="24">
        <v>8</v>
      </c>
      <c r="B43" s="13" t="s">
        <v>70</v>
      </c>
      <c r="C43" s="36">
        <v>220893</v>
      </c>
      <c r="D43" s="37">
        <v>1</v>
      </c>
      <c r="E43" s="37">
        <v>12</v>
      </c>
      <c r="F43" s="40">
        <v>40</v>
      </c>
      <c r="G43" s="25" t="s">
        <v>7</v>
      </c>
      <c r="H43" s="38">
        <v>4.7670000000000003</v>
      </c>
      <c r="I43" s="31">
        <f>13/0.85</f>
        <v>15.294117647058824</v>
      </c>
      <c r="J43" s="25" t="s">
        <v>7</v>
      </c>
      <c r="K43" s="39">
        <v>3.5</v>
      </c>
      <c r="L43" s="31" t="s">
        <v>6</v>
      </c>
      <c r="M43" s="31" t="s">
        <v>9</v>
      </c>
      <c r="N43" s="32" t="s">
        <v>9</v>
      </c>
      <c r="O43" s="33">
        <v>0</v>
      </c>
      <c r="P43" s="31"/>
      <c r="Q43" s="24" t="s">
        <v>247</v>
      </c>
    </row>
    <row r="44" spans="1:17" s="24" customFormat="1" ht="13.25" customHeight="1" x14ac:dyDescent="0.15">
      <c r="B44" s="13" t="s">
        <v>70</v>
      </c>
      <c r="C44" s="36">
        <v>131298</v>
      </c>
      <c r="D44" s="37">
        <v>2</v>
      </c>
      <c r="E44" s="37">
        <v>11</v>
      </c>
      <c r="F44" s="44">
        <v>43.1</v>
      </c>
      <c r="G44" s="25" t="s">
        <v>7</v>
      </c>
      <c r="H44" s="38">
        <v>4.2309999999999999</v>
      </c>
      <c r="I44" s="31">
        <f>20/1.09</f>
        <v>18.348623853211009</v>
      </c>
      <c r="J44" s="25" t="s">
        <v>7</v>
      </c>
      <c r="K44" s="39">
        <v>5.5</v>
      </c>
      <c r="L44" s="31" t="s">
        <v>6</v>
      </c>
      <c r="M44" s="31" t="s">
        <v>6</v>
      </c>
      <c r="N44" s="32" t="s">
        <v>9</v>
      </c>
      <c r="O44" s="33">
        <v>0</v>
      </c>
      <c r="P44" s="31"/>
      <c r="Q44" s="24" t="s">
        <v>206</v>
      </c>
    </row>
    <row r="45" spans="1:17" s="24" customFormat="1" ht="13.25" customHeight="1" x14ac:dyDescent="0.15">
      <c r="B45" s="13" t="s">
        <v>70</v>
      </c>
      <c r="C45" s="36">
        <v>130305</v>
      </c>
      <c r="D45" s="37">
        <v>3</v>
      </c>
      <c r="E45" s="37">
        <v>7</v>
      </c>
      <c r="F45" s="44">
        <f>42/1.05</f>
        <v>40</v>
      </c>
      <c r="G45" s="25" t="s">
        <v>7</v>
      </c>
      <c r="H45" s="38">
        <v>5.58</v>
      </c>
      <c r="I45" s="31">
        <f>11/1.05</f>
        <v>10.476190476190476</v>
      </c>
      <c r="J45" s="25" t="s">
        <v>7</v>
      </c>
      <c r="K45" s="39">
        <v>5.5</v>
      </c>
      <c r="L45" s="31" t="s">
        <v>6</v>
      </c>
      <c r="M45" s="31" t="s">
        <v>9</v>
      </c>
      <c r="N45" s="32" t="s">
        <v>9</v>
      </c>
      <c r="O45" s="33">
        <v>0</v>
      </c>
      <c r="P45" s="31" t="s">
        <v>312</v>
      </c>
      <c r="Q45" s="24" t="s">
        <v>207</v>
      </c>
    </row>
    <row r="46" spans="1:17" s="24" customFormat="1" ht="13.25" customHeight="1" x14ac:dyDescent="0.15">
      <c r="B46" s="13" t="s">
        <v>168</v>
      </c>
      <c r="C46" s="36">
        <v>230111</v>
      </c>
      <c r="D46" s="37">
        <v>4</v>
      </c>
      <c r="E46" s="37">
        <v>4</v>
      </c>
      <c r="F46" s="44">
        <v>61</v>
      </c>
      <c r="G46" s="44" t="s">
        <v>7</v>
      </c>
      <c r="H46" s="38">
        <v>2.6</v>
      </c>
      <c r="I46" s="31">
        <v>26</v>
      </c>
      <c r="J46" s="31" t="s">
        <v>7</v>
      </c>
      <c r="K46" s="39">
        <v>5</v>
      </c>
      <c r="L46" s="31" t="s">
        <v>6</v>
      </c>
      <c r="M46" s="31" t="s">
        <v>6</v>
      </c>
      <c r="N46" s="32" t="s">
        <v>6</v>
      </c>
      <c r="O46" s="33">
        <v>0</v>
      </c>
      <c r="P46" s="31" t="s">
        <v>167</v>
      </c>
      <c r="Q46" s="24" t="s">
        <v>208</v>
      </c>
    </row>
    <row r="47" spans="1:17" s="24" customFormat="1" ht="13.25" customHeight="1" x14ac:dyDescent="0.15">
      <c r="B47" s="13" t="s">
        <v>168</v>
      </c>
      <c r="C47" s="36">
        <v>301215</v>
      </c>
      <c r="D47" s="37">
        <v>5</v>
      </c>
      <c r="E47" s="37" t="s">
        <v>7</v>
      </c>
      <c r="F47" s="37" t="s">
        <v>7</v>
      </c>
      <c r="G47" s="37" t="s">
        <v>7</v>
      </c>
      <c r="H47" s="37"/>
      <c r="I47" s="37" t="s">
        <v>7</v>
      </c>
      <c r="J47" s="37" t="s">
        <v>7</v>
      </c>
      <c r="K47" s="39">
        <v>7</v>
      </c>
      <c r="L47" s="37" t="s">
        <v>7</v>
      </c>
      <c r="M47" s="37" t="s">
        <v>7</v>
      </c>
      <c r="N47" s="37" t="s">
        <v>7</v>
      </c>
      <c r="O47" s="37" t="s">
        <v>7</v>
      </c>
      <c r="P47" s="37"/>
      <c r="Q47" s="24" t="s">
        <v>287</v>
      </c>
    </row>
    <row r="48" spans="1:17" s="24" customFormat="1" ht="13.25" customHeight="1" x14ac:dyDescent="0.15">
      <c r="A48" s="24">
        <v>9</v>
      </c>
      <c r="B48" s="13" t="s">
        <v>71</v>
      </c>
      <c r="C48" s="36">
        <v>230297</v>
      </c>
      <c r="D48" s="37">
        <v>1</v>
      </c>
      <c r="E48" s="37">
        <v>10</v>
      </c>
      <c r="F48" s="40">
        <v>50.4</v>
      </c>
      <c r="G48" s="25">
        <v>40</v>
      </c>
      <c r="H48" s="38">
        <v>3.0779999999999998</v>
      </c>
      <c r="I48" s="31">
        <f>29/1.25</f>
        <v>23.2</v>
      </c>
      <c r="J48" s="31" t="s">
        <v>7</v>
      </c>
      <c r="K48" s="39">
        <v>5.5</v>
      </c>
      <c r="L48" s="31" t="s">
        <v>6</v>
      </c>
      <c r="M48" s="31" t="s">
        <v>7</v>
      </c>
      <c r="N48" s="32" t="s">
        <v>9</v>
      </c>
      <c r="O48" s="33">
        <v>0</v>
      </c>
      <c r="P48" s="31"/>
    </row>
    <row r="49" spans="1:17" s="24" customFormat="1" ht="13.25" customHeight="1" x14ac:dyDescent="0.15">
      <c r="B49" s="13" t="s">
        <v>71</v>
      </c>
      <c r="C49" s="36">
        <v>210402</v>
      </c>
      <c r="D49" s="37">
        <v>2</v>
      </c>
      <c r="E49" s="37">
        <v>15</v>
      </c>
      <c r="F49" s="40">
        <v>72.257999999999996</v>
      </c>
      <c r="G49" s="25" t="s">
        <v>7</v>
      </c>
      <c r="H49" s="38">
        <v>1.84</v>
      </c>
      <c r="I49" s="31">
        <f>12/1.55</f>
        <v>7.7419354838709671</v>
      </c>
      <c r="J49" s="31" t="s">
        <v>7</v>
      </c>
      <c r="K49" s="39">
        <v>5.5</v>
      </c>
      <c r="L49" s="31" t="s">
        <v>6</v>
      </c>
      <c r="M49" s="31" t="s">
        <v>6</v>
      </c>
      <c r="N49" s="32" t="s">
        <v>9</v>
      </c>
      <c r="O49" s="33">
        <v>0</v>
      </c>
      <c r="P49" s="31"/>
    </row>
    <row r="50" spans="1:17" s="24" customFormat="1" ht="13.25" customHeight="1" x14ac:dyDescent="0.15">
      <c r="B50" s="13" t="s">
        <v>71</v>
      </c>
      <c r="C50" s="36">
        <v>13211</v>
      </c>
      <c r="D50" s="37">
        <v>3</v>
      </c>
      <c r="E50" s="37">
        <v>28</v>
      </c>
      <c r="F50" s="40">
        <v>66.489361702127695</v>
      </c>
      <c r="G50" s="25" t="s">
        <v>7</v>
      </c>
      <c r="H50" s="38">
        <v>2.7</v>
      </c>
      <c r="I50" s="31">
        <v>4.78</v>
      </c>
      <c r="J50" s="31" t="s">
        <v>7</v>
      </c>
      <c r="K50" s="39">
        <v>6.5</v>
      </c>
      <c r="L50" s="31" t="s">
        <v>6</v>
      </c>
      <c r="M50" s="31" t="s">
        <v>6</v>
      </c>
      <c r="N50" s="32" t="s">
        <v>6</v>
      </c>
      <c r="O50" s="33">
        <v>0</v>
      </c>
      <c r="P50" s="31"/>
    </row>
    <row r="51" spans="1:17" s="24" customFormat="1" ht="13.25" customHeight="1" x14ac:dyDescent="0.15">
      <c r="A51" s="24">
        <v>10</v>
      </c>
      <c r="B51" s="13" t="s">
        <v>72</v>
      </c>
      <c r="C51" s="36">
        <v>221192</v>
      </c>
      <c r="D51" s="37">
        <v>1</v>
      </c>
      <c r="E51" s="37">
        <v>8</v>
      </c>
      <c r="F51" s="40">
        <v>16.7</v>
      </c>
      <c r="G51" s="25">
        <v>10.4</v>
      </c>
      <c r="H51" s="38">
        <v>19.8</v>
      </c>
      <c r="I51" s="31">
        <v>7.14</v>
      </c>
      <c r="J51" s="31"/>
      <c r="K51" s="39">
        <v>3</v>
      </c>
      <c r="L51" s="31" t="s">
        <v>9</v>
      </c>
      <c r="M51" s="31" t="s">
        <v>7</v>
      </c>
      <c r="N51" s="32" t="s">
        <v>9</v>
      </c>
      <c r="O51" s="33">
        <v>0</v>
      </c>
      <c r="P51" s="31" t="s">
        <v>248</v>
      </c>
    </row>
    <row r="52" spans="1:17" s="24" customFormat="1" ht="13.25" customHeight="1" x14ac:dyDescent="0.15">
      <c r="B52" s="13" t="s">
        <v>72</v>
      </c>
      <c r="C52" s="34">
        <v>201293</v>
      </c>
      <c r="D52" s="37">
        <v>2</v>
      </c>
      <c r="E52" s="37">
        <v>9</v>
      </c>
      <c r="F52" s="44">
        <v>66.7</v>
      </c>
      <c r="G52" s="44" t="s">
        <v>7</v>
      </c>
      <c r="H52" s="38">
        <v>2.1589999999999998</v>
      </c>
      <c r="I52" s="31">
        <v>9.52</v>
      </c>
      <c r="J52" s="31" t="s">
        <v>7</v>
      </c>
      <c r="K52" s="39">
        <v>4</v>
      </c>
      <c r="L52" s="31" t="s">
        <v>9</v>
      </c>
      <c r="M52" s="31" t="s">
        <v>6</v>
      </c>
      <c r="N52" s="32" t="s">
        <v>9</v>
      </c>
      <c r="O52" s="33">
        <v>0</v>
      </c>
      <c r="P52" s="31" t="s">
        <v>249</v>
      </c>
    </row>
    <row r="53" spans="1:17" s="24" customFormat="1" ht="13.25" customHeight="1" x14ac:dyDescent="0.15">
      <c r="B53" s="13" t="s">
        <v>72</v>
      </c>
      <c r="C53" s="36">
        <v>11296</v>
      </c>
      <c r="D53" s="37">
        <v>3</v>
      </c>
      <c r="E53" s="37">
        <v>3</v>
      </c>
      <c r="F53" s="44">
        <v>90.7</v>
      </c>
      <c r="G53" s="44" t="s">
        <v>7</v>
      </c>
      <c r="H53" s="38">
        <v>1.208</v>
      </c>
      <c r="I53" s="31">
        <v>9.3000000000000007</v>
      </c>
      <c r="J53" s="31" t="s">
        <v>7</v>
      </c>
      <c r="K53" s="39">
        <v>4</v>
      </c>
      <c r="L53" s="31" t="s">
        <v>9</v>
      </c>
      <c r="M53" s="31" t="s">
        <v>6</v>
      </c>
      <c r="N53" s="32" t="s">
        <v>6</v>
      </c>
      <c r="O53" s="33">
        <v>0</v>
      </c>
      <c r="P53" s="31" t="s">
        <v>250</v>
      </c>
    </row>
    <row r="54" spans="1:17" s="24" customFormat="1" ht="13.25" customHeight="1" x14ac:dyDescent="0.15">
      <c r="B54" s="13" t="s">
        <v>72</v>
      </c>
      <c r="C54" s="36">
        <v>250404</v>
      </c>
      <c r="D54" s="37">
        <v>4</v>
      </c>
      <c r="E54" s="37">
        <v>2</v>
      </c>
      <c r="F54" s="44">
        <f>12/0.18</f>
        <v>66.666666666666671</v>
      </c>
      <c r="G54" s="44" t="s">
        <v>7</v>
      </c>
      <c r="H54" s="38">
        <v>1.8</v>
      </c>
      <c r="I54" s="31">
        <f>6/0.18</f>
        <v>33.333333333333336</v>
      </c>
      <c r="J54" s="31" t="s">
        <v>7</v>
      </c>
      <c r="K54" s="39">
        <v>4</v>
      </c>
      <c r="L54" s="31" t="s">
        <v>9</v>
      </c>
      <c r="M54" s="31" t="s">
        <v>9</v>
      </c>
      <c r="N54" s="32" t="s">
        <v>9</v>
      </c>
      <c r="O54" s="33">
        <v>0</v>
      </c>
      <c r="P54" s="31" t="s">
        <v>251</v>
      </c>
      <c r="Q54" s="24" t="s">
        <v>298</v>
      </c>
    </row>
    <row r="55" spans="1:17" s="24" customFormat="1" ht="13.25" customHeight="1" x14ac:dyDescent="0.15">
      <c r="B55" s="13" t="s">
        <v>27</v>
      </c>
      <c r="C55" s="36">
        <v>61209</v>
      </c>
      <c r="D55" s="37">
        <v>5</v>
      </c>
      <c r="E55" s="37">
        <v>2</v>
      </c>
      <c r="F55" s="44">
        <v>70.83</v>
      </c>
      <c r="G55" s="44" t="s">
        <v>7</v>
      </c>
      <c r="H55" s="38">
        <v>1.83</v>
      </c>
      <c r="I55" s="31">
        <v>16.670000000000002</v>
      </c>
      <c r="J55" s="31" t="s">
        <v>7</v>
      </c>
      <c r="K55" s="39">
        <v>3.5</v>
      </c>
      <c r="L55" s="31" t="s">
        <v>6</v>
      </c>
      <c r="M55" s="31" t="s">
        <v>6</v>
      </c>
      <c r="N55" s="32" t="s">
        <v>9</v>
      </c>
      <c r="O55" s="33">
        <v>0</v>
      </c>
      <c r="P55" s="31" t="s">
        <v>252</v>
      </c>
    </row>
    <row r="56" spans="1:17" s="24" customFormat="1" ht="13.25" customHeight="1" x14ac:dyDescent="0.15">
      <c r="B56" s="13" t="s">
        <v>72</v>
      </c>
      <c r="C56" s="36">
        <v>220215</v>
      </c>
      <c r="D56" s="37">
        <v>6</v>
      </c>
      <c r="E56" s="37">
        <v>7</v>
      </c>
      <c r="F56" s="25">
        <v>33.33</v>
      </c>
      <c r="G56" s="25">
        <v>29.17</v>
      </c>
      <c r="H56" s="38"/>
      <c r="I56" s="31" t="s">
        <v>7</v>
      </c>
      <c r="J56" s="31">
        <v>29.16</v>
      </c>
      <c r="K56" s="39">
        <v>3.5</v>
      </c>
      <c r="L56" s="31" t="s">
        <v>278</v>
      </c>
      <c r="M56" s="31" t="s">
        <v>7</v>
      </c>
      <c r="N56" s="32" t="s">
        <v>9</v>
      </c>
      <c r="O56" s="33">
        <v>0</v>
      </c>
      <c r="P56" s="31"/>
      <c r="Q56" s="24" t="s">
        <v>308</v>
      </c>
    </row>
    <row r="57" spans="1:17" s="24" customFormat="1" ht="13.25" customHeight="1" x14ac:dyDescent="0.15">
      <c r="A57" s="24">
        <v>11</v>
      </c>
      <c r="B57" s="13" t="s">
        <v>170</v>
      </c>
      <c r="C57" s="36">
        <v>260792</v>
      </c>
      <c r="D57" s="37">
        <v>1</v>
      </c>
      <c r="E57" s="37">
        <v>19</v>
      </c>
      <c r="F57" s="40">
        <v>31.2</v>
      </c>
      <c r="G57" s="25" t="s">
        <v>7</v>
      </c>
      <c r="H57" s="38">
        <v>5.5289999999999999</v>
      </c>
      <c r="I57" s="31">
        <f>29/1.25</f>
        <v>23.2</v>
      </c>
      <c r="J57" s="31" t="s">
        <v>7</v>
      </c>
      <c r="K57" s="39">
        <v>3</v>
      </c>
      <c r="L57" s="31" t="s">
        <v>6</v>
      </c>
      <c r="M57" s="31" t="s">
        <v>7</v>
      </c>
      <c r="N57" s="32" t="s">
        <v>6</v>
      </c>
      <c r="O57" s="33">
        <v>1</v>
      </c>
      <c r="P57" s="31"/>
    </row>
    <row r="58" spans="1:17" s="24" customFormat="1" ht="13.25" customHeight="1" x14ac:dyDescent="0.15">
      <c r="B58" s="13" t="s">
        <v>170</v>
      </c>
      <c r="C58" s="48">
        <v>20593</v>
      </c>
      <c r="D58" s="37">
        <v>2</v>
      </c>
      <c r="E58" s="37">
        <v>2</v>
      </c>
      <c r="F58" s="40">
        <f>65/1.25</f>
        <v>52</v>
      </c>
      <c r="G58" s="25" t="s">
        <v>7</v>
      </c>
      <c r="H58" s="38">
        <v>4.6280000000000001</v>
      </c>
      <c r="I58" s="31">
        <f>56/1.25</f>
        <v>44.8</v>
      </c>
      <c r="J58" s="31" t="s">
        <v>7</v>
      </c>
      <c r="K58" s="39">
        <v>4</v>
      </c>
      <c r="L58" s="31" t="s">
        <v>6</v>
      </c>
      <c r="M58" s="31" t="s">
        <v>6</v>
      </c>
      <c r="N58" s="32" t="s">
        <v>9</v>
      </c>
      <c r="O58" s="33">
        <v>1</v>
      </c>
      <c r="P58" s="31" t="s">
        <v>169</v>
      </c>
    </row>
    <row r="59" spans="1:17" s="24" customFormat="1" ht="13.25" customHeight="1" x14ac:dyDescent="0.15">
      <c r="B59" s="13" t="s">
        <v>170</v>
      </c>
      <c r="C59" s="48">
        <v>260602</v>
      </c>
      <c r="D59" s="37">
        <v>3</v>
      </c>
      <c r="E59" s="37">
        <v>5</v>
      </c>
      <c r="F59" s="40">
        <f>83/1.37</f>
        <v>60.583941605839414</v>
      </c>
      <c r="G59" s="25" t="s">
        <v>7</v>
      </c>
      <c r="H59" s="38">
        <v>1.5</v>
      </c>
      <c r="I59" s="24">
        <f>35/1.37</f>
        <v>25.54744525547445</v>
      </c>
      <c r="J59" s="31" t="s">
        <v>7</v>
      </c>
      <c r="K59" s="39">
        <v>5.5</v>
      </c>
      <c r="L59" s="31" t="s">
        <v>6</v>
      </c>
      <c r="M59" s="31" t="s">
        <v>9</v>
      </c>
      <c r="N59" s="32" t="s">
        <v>6</v>
      </c>
      <c r="O59" s="33">
        <v>1</v>
      </c>
      <c r="P59" s="31" t="s">
        <v>14</v>
      </c>
    </row>
    <row r="60" spans="1:17" s="24" customFormat="1" ht="13.25" customHeight="1" x14ac:dyDescent="0.15">
      <c r="B60" s="13" t="s">
        <v>170</v>
      </c>
      <c r="C60" s="48">
        <v>220707</v>
      </c>
      <c r="D60" s="37">
        <v>4</v>
      </c>
      <c r="E60" s="37">
        <v>4</v>
      </c>
      <c r="F60" s="40">
        <f>88/1.37</f>
        <v>64.233576642335763</v>
      </c>
      <c r="G60" s="25" t="s">
        <v>7</v>
      </c>
      <c r="H60" s="38">
        <v>1.2709999999999999</v>
      </c>
      <c r="I60" s="37">
        <f>37/1.37</f>
        <v>27.007299270072991</v>
      </c>
      <c r="J60" s="31" t="s">
        <v>7</v>
      </c>
      <c r="K60" s="31">
        <v>5.5</v>
      </c>
      <c r="L60" s="31" t="s">
        <v>6</v>
      </c>
      <c r="M60" s="31" t="s">
        <v>6</v>
      </c>
      <c r="N60" s="32" t="s">
        <v>9</v>
      </c>
      <c r="O60" s="33">
        <v>1</v>
      </c>
      <c r="P60" s="31" t="s">
        <v>171</v>
      </c>
    </row>
    <row r="61" spans="1:17" s="24" customFormat="1" ht="13.25" customHeight="1" x14ac:dyDescent="0.15">
      <c r="B61" s="13" t="s">
        <v>170</v>
      </c>
      <c r="C61" s="48">
        <v>150712</v>
      </c>
      <c r="D61" s="37">
        <v>5</v>
      </c>
      <c r="E61" s="37">
        <v>3</v>
      </c>
      <c r="F61" s="40">
        <f>117/1.39</f>
        <v>84.172661870503603</v>
      </c>
      <c r="G61" s="25" t="s">
        <v>7</v>
      </c>
      <c r="H61" s="38">
        <v>1.119</v>
      </c>
      <c r="I61" s="31">
        <f>12/1.39</f>
        <v>8.6330935251798575</v>
      </c>
      <c r="J61" s="31" t="s">
        <v>7</v>
      </c>
      <c r="K61" s="39">
        <v>5.5</v>
      </c>
      <c r="L61" s="31" t="s">
        <v>6</v>
      </c>
      <c r="M61" s="31" t="s">
        <v>6</v>
      </c>
      <c r="N61" s="32" t="s">
        <v>9</v>
      </c>
      <c r="O61" s="33">
        <v>1</v>
      </c>
      <c r="P61" s="31" t="s">
        <v>172</v>
      </c>
    </row>
    <row r="62" spans="1:17" s="24" customFormat="1" ht="13.25" customHeight="1" x14ac:dyDescent="0.15">
      <c r="A62" s="24">
        <v>12</v>
      </c>
      <c r="B62" s="13" t="s">
        <v>173</v>
      </c>
      <c r="C62" s="36">
        <v>300706</v>
      </c>
      <c r="D62" s="37">
        <v>1</v>
      </c>
      <c r="E62" s="37">
        <v>69</v>
      </c>
      <c r="F62" s="40">
        <f>111/5</f>
        <v>22.2</v>
      </c>
      <c r="G62" s="25"/>
      <c r="H62" s="38">
        <v>12.500999999999999</v>
      </c>
      <c r="I62" s="31">
        <f>64/5</f>
        <v>12.8</v>
      </c>
      <c r="J62" s="31"/>
      <c r="K62" s="39">
        <v>6</v>
      </c>
      <c r="L62" s="31" t="s">
        <v>6</v>
      </c>
      <c r="M62" s="31" t="s">
        <v>7</v>
      </c>
      <c r="N62" s="32" t="s">
        <v>6</v>
      </c>
      <c r="O62" s="33">
        <v>1</v>
      </c>
      <c r="P62" s="31"/>
    </row>
    <row r="63" spans="1:17" s="24" customFormat="1" ht="13.25" customHeight="1" x14ac:dyDescent="0.15">
      <c r="B63" s="13" t="s">
        <v>175</v>
      </c>
      <c r="C63" s="48">
        <v>190107</v>
      </c>
      <c r="D63" s="37">
        <v>2</v>
      </c>
      <c r="E63" s="37">
        <v>27</v>
      </c>
      <c r="F63" s="40">
        <f>22/1.08</f>
        <v>20.37037037037037</v>
      </c>
      <c r="G63" s="25" t="s">
        <v>177</v>
      </c>
      <c r="H63" s="38"/>
      <c r="I63" s="31">
        <f>14/1.07</f>
        <v>13.084112149532709</v>
      </c>
      <c r="J63" s="31" t="s">
        <v>179</v>
      </c>
      <c r="K63" s="39">
        <v>6</v>
      </c>
      <c r="L63" s="31" t="s">
        <v>6</v>
      </c>
      <c r="M63" s="31"/>
      <c r="N63" s="49" t="s">
        <v>9</v>
      </c>
      <c r="O63" s="50">
        <v>1</v>
      </c>
      <c r="P63" s="51" t="s">
        <v>178</v>
      </c>
    </row>
    <row r="64" spans="1:17" s="24" customFormat="1" ht="13.25" customHeight="1" x14ac:dyDescent="0.15">
      <c r="B64" s="13" t="s">
        <v>173</v>
      </c>
      <c r="C64" s="48">
        <v>281111</v>
      </c>
      <c r="D64" s="37">
        <v>3</v>
      </c>
      <c r="E64" s="37">
        <v>108</v>
      </c>
      <c r="F64" s="40">
        <f>69/5</f>
        <v>13.8</v>
      </c>
      <c r="G64" s="25" t="s">
        <v>7</v>
      </c>
      <c r="H64" s="38">
        <v>23.367000000000001</v>
      </c>
      <c r="I64" s="31">
        <v>8.4</v>
      </c>
      <c r="J64" s="31" t="s">
        <v>7</v>
      </c>
      <c r="K64" s="39">
        <v>6</v>
      </c>
      <c r="L64" s="31" t="s">
        <v>6</v>
      </c>
      <c r="M64" s="31" t="s">
        <v>9</v>
      </c>
      <c r="N64" s="49" t="s">
        <v>6</v>
      </c>
      <c r="O64" s="50">
        <v>1</v>
      </c>
      <c r="P64" s="47" t="s">
        <v>174</v>
      </c>
    </row>
    <row r="65" spans="1:17" s="24" customFormat="1" ht="13.25" customHeight="1" x14ac:dyDescent="0.15">
      <c r="B65" s="13" t="s">
        <v>175</v>
      </c>
      <c r="C65" s="48">
        <v>91011</v>
      </c>
      <c r="D65" s="37">
        <v>3</v>
      </c>
      <c r="E65" s="37">
        <v>8</v>
      </c>
      <c r="F65" s="40">
        <f>12/0.72</f>
        <v>16.666666666666668</v>
      </c>
      <c r="G65" s="25" t="s">
        <v>177</v>
      </c>
      <c r="H65" s="38"/>
      <c r="I65" s="31">
        <f>11/0.72</f>
        <v>15.277777777777779</v>
      </c>
      <c r="J65" s="31" t="s">
        <v>179</v>
      </c>
      <c r="K65" s="39">
        <v>6</v>
      </c>
      <c r="L65" s="31" t="s">
        <v>6</v>
      </c>
      <c r="M65" s="31"/>
      <c r="N65" s="52" t="s">
        <v>6</v>
      </c>
      <c r="O65" s="53">
        <v>1</v>
      </c>
      <c r="P65" s="41" t="s">
        <v>176</v>
      </c>
    </row>
    <row r="66" spans="1:17" s="24" customFormat="1" ht="13.25" customHeight="1" x14ac:dyDescent="0.15">
      <c r="A66" s="24">
        <v>13</v>
      </c>
      <c r="B66" s="13" t="s">
        <v>73</v>
      </c>
      <c r="C66" s="36">
        <v>251190</v>
      </c>
      <c r="D66" s="37">
        <v>1</v>
      </c>
      <c r="E66" s="37">
        <v>3</v>
      </c>
      <c r="F66" s="40">
        <v>93.1</v>
      </c>
      <c r="G66" s="25">
        <v>71.7</v>
      </c>
      <c r="H66" s="38">
        <v>1.1499999999999999</v>
      </c>
      <c r="I66" s="31">
        <f>9/1.75</f>
        <v>5.1428571428571432</v>
      </c>
      <c r="J66" s="32">
        <v>19.809999999999999</v>
      </c>
      <c r="K66" s="39">
        <v>5</v>
      </c>
      <c r="L66" s="31" t="s">
        <v>6</v>
      </c>
      <c r="M66" s="31" t="s">
        <v>6</v>
      </c>
      <c r="N66" s="32" t="s">
        <v>6</v>
      </c>
      <c r="O66" s="33">
        <v>0</v>
      </c>
      <c r="P66" s="31"/>
    </row>
    <row r="67" spans="1:17" s="24" customFormat="1" ht="13.25" customHeight="1" x14ac:dyDescent="0.15">
      <c r="B67" s="13" t="s">
        <v>73</v>
      </c>
      <c r="C67" s="36">
        <v>261195</v>
      </c>
      <c r="D67" s="37">
        <v>2</v>
      </c>
      <c r="E67" s="37">
        <v>3</v>
      </c>
      <c r="F67" s="44">
        <v>85.1</v>
      </c>
      <c r="G67" s="44">
        <v>64.900000000000006</v>
      </c>
      <c r="H67" s="38">
        <v>1.36</v>
      </c>
      <c r="I67" s="31">
        <f>14/1.75</f>
        <v>8</v>
      </c>
      <c r="J67" s="31" t="s">
        <v>7</v>
      </c>
      <c r="K67" s="39">
        <v>5.5</v>
      </c>
      <c r="L67" s="31" t="s">
        <v>6</v>
      </c>
      <c r="M67" s="31" t="s">
        <v>6</v>
      </c>
      <c r="N67" s="32" t="s">
        <v>6</v>
      </c>
      <c r="O67" s="33">
        <v>0</v>
      </c>
      <c r="P67" s="31"/>
      <c r="Q67" s="24" t="s">
        <v>209</v>
      </c>
    </row>
    <row r="68" spans="1:17" s="24" customFormat="1" ht="13.25" customHeight="1" x14ac:dyDescent="0.15">
      <c r="B68" s="13" t="s">
        <v>73</v>
      </c>
      <c r="C68" s="36">
        <v>101200</v>
      </c>
      <c r="D68" s="37">
        <v>3</v>
      </c>
      <c r="E68" s="37">
        <v>6</v>
      </c>
      <c r="F68" s="44">
        <v>42.7</v>
      </c>
      <c r="G68" s="44" t="s">
        <v>7</v>
      </c>
      <c r="H68" s="38">
        <v>2.8</v>
      </c>
      <c r="I68" s="31">
        <f>94/2.25</f>
        <v>41.777777777777779</v>
      </c>
      <c r="J68" s="31" t="s">
        <v>7</v>
      </c>
      <c r="K68" s="39">
        <v>5.5</v>
      </c>
      <c r="L68" s="31" t="s">
        <v>6</v>
      </c>
      <c r="M68" s="31" t="s">
        <v>9</v>
      </c>
      <c r="N68" s="32" t="s">
        <v>6</v>
      </c>
      <c r="O68" s="33">
        <v>0</v>
      </c>
      <c r="P68" s="31" t="s">
        <v>313</v>
      </c>
    </row>
    <row r="69" spans="1:17" s="24" customFormat="1" ht="13.25" customHeight="1" x14ac:dyDescent="0.15">
      <c r="B69" s="13" t="s">
        <v>73</v>
      </c>
      <c r="C69" s="36">
        <v>111211</v>
      </c>
      <c r="D69" s="37">
        <v>4</v>
      </c>
      <c r="E69" s="37">
        <v>6</v>
      </c>
      <c r="F69" s="44">
        <v>47.84</v>
      </c>
      <c r="G69" s="44" t="s">
        <v>7</v>
      </c>
      <c r="H69" s="38">
        <v>3.137</v>
      </c>
      <c r="I69" s="31">
        <v>29.8</v>
      </c>
      <c r="J69" s="31" t="s">
        <v>7</v>
      </c>
      <c r="K69" s="39">
        <v>6.5</v>
      </c>
      <c r="L69" s="31" t="s">
        <v>9</v>
      </c>
      <c r="M69" s="31" t="s">
        <v>9</v>
      </c>
      <c r="N69" s="32" t="s">
        <v>9</v>
      </c>
      <c r="O69" s="33">
        <v>0</v>
      </c>
      <c r="P69" s="31"/>
    </row>
    <row r="70" spans="1:17" s="24" customFormat="1" ht="13.25" customHeight="1" x14ac:dyDescent="0.15">
      <c r="A70" s="24">
        <v>14</v>
      </c>
      <c r="B70" s="13" t="s">
        <v>74</v>
      </c>
      <c r="C70" s="36">
        <v>181292</v>
      </c>
      <c r="D70" s="37">
        <v>1</v>
      </c>
      <c r="E70" s="37">
        <v>1</v>
      </c>
      <c r="F70" s="40">
        <v>100</v>
      </c>
      <c r="G70" s="25">
        <v>74.599999999999994</v>
      </c>
      <c r="H70" s="38">
        <v>1</v>
      </c>
      <c r="I70" s="31">
        <v>0</v>
      </c>
      <c r="J70" s="31">
        <v>25.41</v>
      </c>
      <c r="K70" s="39">
        <v>6</v>
      </c>
      <c r="L70" s="31" t="s">
        <v>6</v>
      </c>
      <c r="M70" s="31" t="s">
        <v>6</v>
      </c>
      <c r="N70" s="32" t="s">
        <v>9</v>
      </c>
      <c r="O70" s="33">
        <v>0</v>
      </c>
      <c r="P70" s="31"/>
    </row>
    <row r="71" spans="1:17" s="24" customFormat="1" ht="13.25" customHeight="1" x14ac:dyDescent="0.15">
      <c r="B71" s="13" t="s">
        <v>74</v>
      </c>
      <c r="C71" s="36">
        <v>191297</v>
      </c>
      <c r="D71" s="37">
        <v>2</v>
      </c>
      <c r="E71" s="37">
        <v>2</v>
      </c>
      <c r="F71" s="44">
        <v>100</v>
      </c>
      <c r="G71" s="44">
        <v>78.599999999999994</v>
      </c>
      <c r="H71" s="38">
        <v>1</v>
      </c>
      <c r="I71" s="31">
        <v>0</v>
      </c>
      <c r="J71" s="47">
        <v>19.190000000000001</v>
      </c>
      <c r="K71" s="39">
        <v>5.5</v>
      </c>
      <c r="L71" s="31" t="s">
        <v>6</v>
      </c>
      <c r="M71" s="31" t="s">
        <v>6</v>
      </c>
      <c r="N71" s="32" t="s">
        <v>9</v>
      </c>
      <c r="O71" s="33">
        <v>0</v>
      </c>
      <c r="P71" s="31"/>
    </row>
    <row r="72" spans="1:17" s="24" customFormat="1" ht="13.25" customHeight="1" x14ac:dyDescent="0.15">
      <c r="B72" s="13" t="s">
        <v>74</v>
      </c>
      <c r="C72" s="36">
        <v>100103</v>
      </c>
      <c r="D72" s="37">
        <v>3</v>
      </c>
      <c r="E72" s="37">
        <v>1</v>
      </c>
      <c r="F72" s="44">
        <v>100</v>
      </c>
      <c r="G72" s="44">
        <v>62.73</v>
      </c>
      <c r="H72" s="38">
        <v>1</v>
      </c>
      <c r="I72" s="31">
        <f>1/(((65/65)^2))</f>
        <v>1</v>
      </c>
      <c r="J72" s="47">
        <v>37.6</v>
      </c>
      <c r="K72" s="39">
        <v>5</v>
      </c>
      <c r="L72" s="31" t="s">
        <v>6</v>
      </c>
      <c r="M72" s="31" t="s">
        <v>6</v>
      </c>
      <c r="N72" s="32" t="s">
        <v>9</v>
      </c>
      <c r="O72" s="33">
        <v>0</v>
      </c>
      <c r="P72" s="31"/>
      <c r="Q72" s="24" t="s">
        <v>255</v>
      </c>
    </row>
    <row r="73" spans="1:17" s="24" customFormat="1" ht="13.25" customHeight="1" x14ac:dyDescent="0.15">
      <c r="B73" s="13" t="s">
        <v>74</v>
      </c>
      <c r="C73" s="36">
        <v>80208</v>
      </c>
      <c r="D73" s="37">
        <v>4</v>
      </c>
      <c r="E73" s="37">
        <v>1</v>
      </c>
      <c r="F73" s="44">
        <v>100</v>
      </c>
      <c r="G73" s="44">
        <v>100</v>
      </c>
      <c r="H73" s="38">
        <v>1</v>
      </c>
      <c r="I73" s="31">
        <v>0</v>
      </c>
      <c r="J73" s="31">
        <v>0</v>
      </c>
      <c r="K73" s="39">
        <v>5</v>
      </c>
      <c r="L73" s="31" t="s">
        <v>6</v>
      </c>
      <c r="M73" s="31" t="s">
        <v>6</v>
      </c>
      <c r="N73" s="32" t="s">
        <v>9</v>
      </c>
      <c r="O73" s="33">
        <v>0</v>
      </c>
      <c r="P73" s="31"/>
      <c r="Q73" s="24" t="s">
        <v>254</v>
      </c>
    </row>
    <row r="74" spans="1:17" s="24" customFormat="1" ht="13.25" customHeight="1" x14ac:dyDescent="0.15">
      <c r="B74" s="13" t="s">
        <v>74</v>
      </c>
      <c r="C74" s="36">
        <v>220213</v>
      </c>
      <c r="D74" s="37">
        <v>5</v>
      </c>
      <c r="E74" s="37">
        <v>3</v>
      </c>
      <c r="F74" s="44">
        <v>66.150000000000006</v>
      </c>
      <c r="G74" s="44">
        <v>61.5</v>
      </c>
      <c r="H74" s="38">
        <v>1.84</v>
      </c>
      <c r="I74" s="31">
        <v>32.31</v>
      </c>
      <c r="J74" s="31">
        <v>35.6</v>
      </c>
      <c r="K74" s="39">
        <v>5.5</v>
      </c>
      <c r="L74" s="31" t="s">
        <v>6</v>
      </c>
      <c r="M74" s="31" t="s">
        <v>6</v>
      </c>
      <c r="N74" s="32" t="s">
        <v>9</v>
      </c>
      <c r="O74" s="33">
        <v>0</v>
      </c>
      <c r="P74" s="31"/>
      <c r="Q74" s="24" t="s">
        <v>253</v>
      </c>
    </row>
    <row r="75" spans="1:17" s="24" customFormat="1" ht="13.25" customHeight="1" x14ac:dyDescent="0.15">
      <c r="A75" s="24">
        <v>15</v>
      </c>
      <c r="B75" s="13" t="s">
        <v>75</v>
      </c>
      <c r="C75" s="36">
        <v>211193</v>
      </c>
      <c r="D75" s="37">
        <v>1</v>
      </c>
      <c r="E75" s="37">
        <v>4</v>
      </c>
      <c r="F75" s="40">
        <v>85</v>
      </c>
      <c r="G75" s="25">
        <v>69.8</v>
      </c>
      <c r="H75" s="38">
        <v>1.3660000000000001</v>
      </c>
      <c r="I75" s="31">
        <f>6/0.8</f>
        <v>7.5</v>
      </c>
      <c r="J75" s="31"/>
      <c r="K75" s="39">
        <v>7</v>
      </c>
      <c r="L75" s="31" t="s">
        <v>6</v>
      </c>
      <c r="M75" s="31" t="s">
        <v>6</v>
      </c>
      <c r="N75" s="32" t="s">
        <v>9</v>
      </c>
      <c r="O75" s="33">
        <v>0</v>
      </c>
      <c r="P75" s="31"/>
      <c r="Q75" s="24" t="s">
        <v>210</v>
      </c>
    </row>
    <row r="76" spans="1:17" s="24" customFormat="1" ht="13.25" customHeight="1" x14ac:dyDescent="0.15">
      <c r="B76" s="13" t="s">
        <v>98</v>
      </c>
      <c r="C76" s="36">
        <v>70399</v>
      </c>
      <c r="D76" s="37">
        <v>2</v>
      </c>
      <c r="E76" s="37">
        <v>3</v>
      </c>
      <c r="F76" s="40">
        <v>93.8</v>
      </c>
      <c r="G76" s="40">
        <v>85.5</v>
      </c>
      <c r="H76" s="38">
        <v>1.1299999999999999</v>
      </c>
      <c r="I76" s="31">
        <f>4/0.8</f>
        <v>5</v>
      </c>
      <c r="J76" s="31">
        <v>6.41</v>
      </c>
      <c r="K76" s="39">
        <v>7</v>
      </c>
      <c r="L76" s="31" t="s">
        <v>6</v>
      </c>
      <c r="M76" s="31" t="s">
        <v>6</v>
      </c>
      <c r="N76" s="32" t="s">
        <v>9</v>
      </c>
      <c r="O76" s="33">
        <v>0</v>
      </c>
      <c r="P76" s="31"/>
    </row>
    <row r="77" spans="1:17" s="24" customFormat="1" ht="13.25" customHeight="1" x14ac:dyDescent="0.15">
      <c r="B77" s="13" t="s">
        <v>75</v>
      </c>
      <c r="C77" s="36">
        <v>250404</v>
      </c>
      <c r="D77" s="37">
        <v>3</v>
      </c>
      <c r="E77" s="37">
        <v>3</v>
      </c>
      <c r="F77" s="40">
        <v>98</v>
      </c>
      <c r="G77" s="40">
        <v>91.82</v>
      </c>
      <c r="H77" s="38">
        <v>1.0409999999999999</v>
      </c>
      <c r="I77" s="31">
        <v>2</v>
      </c>
      <c r="J77" s="31">
        <v>6.03</v>
      </c>
      <c r="K77" s="39">
        <v>6.5</v>
      </c>
      <c r="L77" s="31" t="s">
        <v>6</v>
      </c>
      <c r="M77" s="31" t="s">
        <v>6</v>
      </c>
      <c r="N77" s="32" t="s">
        <v>9</v>
      </c>
      <c r="O77" s="33">
        <v>0</v>
      </c>
      <c r="P77" s="31"/>
      <c r="Q77" s="24" t="s">
        <v>211</v>
      </c>
    </row>
    <row r="78" spans="1:17" s="24" customFormat="1" ht="13.25" customHeight="1" x14ac:dyDescent="0.15">
      <c r="B78" s="13" t="s">
        <v>75</v>
      </c>
      <c r="C78" s="36">
        <v>40508</v>
      </c>
      <c r="D78" s="37">
        <v>4</v>
      </c>
      <c r="E78" s="37">
        <v>3</v>
      </c>
      <c r="F78" s="40">
        <v>99</v>
      </c>
      <c r="G78" s="40" t="s">
        <v>7</v>
      </c>
      <c r="H78" s="38">
        <v>1.02</v>
      </c>
      <c r="I78" s="31">
        <v>1</v>
      </c>
      <c r="J78" s="31" t="s">
        <v>7</v>
      </c>
      <c r="K78" s="39">
        <v>6.5</v>
      </c>
      <c r="L78" s="31" t="s">
        <v>6</v>
      </c>
      <c r="M78" s="31" t="s">
        <v>6</v>
      </c>
      <c r="N78" s="32" t="s">
        <v>9</v>
      </c>
      <c r="O78" s="33">
        <v>0</v>
      </c>
      <c r="P78" s="31"/>
      <c r="Q78" s="24" t="s">
        <v>212</v>
      </c>
    </row>
    <row r="79" spans="1:17" s="24" customFormat="1" ht="13.25" customHeight="1" x14ac:dyDescent="0.15">
      <c r="B79" s="13" t="s">
        <v>75</v>
      </c>
      <c r="C79" s="36">
        <v>260513</v>
      </c>
      <c r="D79" s="37">
        <v>5</v>
      </c>
      <c r="E79" s="37">
        <v>2</v>
      </c>
      <c r="F79" s="40">
        <v>99</v>
      </c>
      <c r="G79" s="40" t="s">
        <v>7</v>
      </c>
      <c r="H79" s="38">
        <v>1.02</v>
      </c>
      <c r="I79" s="31">
        <v>1</v>
      </c>
      <c r="J79" s="31" t="s">
        <v>7</v>
      </c>
      <c r="K79" s="39">
        <v>7</v>
      </c>
      <c r="L79" s="31" t="s">
        <v>6</v>
      </c>
      <c r="M79" s="31" t="s">
        <v>6</v>
      </c>
      <c r="N79" s="32" t="s">
        <v>9</v>
      </c>
      <c r="O79" s="33">
        <v>1</v>
      </c>
      <c r="P79" s="31"/>
    </row>
    <row r="80" spans="1:17" s="24" customFormat="1" ht="13.25" customHeight="1" x14ac:dyDescent="0.15">
      <c r="B80" s="13" t="s">
        <v>299</v>
      </c>
      <c r="C80" s="36">
        <v>260513</v>
      </c>
      <c r="D80" s="37">
        <v>6</v>
      </c>
      <c r="E80" s="37">
        <v>2</v>
      </c>
      <c r="F80" s="40">
        <v>98</v>
      </c>
      <c r="G80" s="40" t="s">
        <v>7</v>
      </c>
      <c r="H80" s="38"/>
      <c r="I80" s="31">
        <v>1.8</v>
      </c>
      <c r="J80" s="31" t="s">
        <v>7</v>
      </c>
      <c r="K80" s="39">
        <v>7</v>
      </c>
      <c r="L80" s="31" t="s">
        <v>6</v>
      </c>
      <c r="M80" s="31" t="s">
        <v>7</v>
      </c>
      <c r="N80" s="32" t="s">
        <v>9</v>
      </c>
      <c r="O80" s="33">
        <v>1</v>
      </c>
      <c r="P80" s="31"/>
      <c r="Q80" s="24" t="s">
        <v>288</v>
      </c>
    </row>
    <row r="81" spans="1:17" s="24" customFormat="1" ht="13.25" customHeight="1" x14ac:dyDescent="0.15">
      <c r="A81" s="24">
        <v>16</v>
      </c>
      <c r="B81" s="13" t="s">
        <v>270</v>
      </c>
      <c r="C81" s="36" t="s">
        <v>271</v>
      </c>
      <c r="D81" s="37"/>
      <c r="E81" s="37"/>
      <c r="F81" s="40"/>
      <c r="G81" s="40"/>
      <c r="H81" s="38"/>
      <c r="I81" s="31"/>
      <c r="J81" s="31"/>
      <c r="K81" s="39"/>
      <c r="L81" s="31"/>
      <c r="M81" s="31"/>
      <c r="N81" s="32"/>
      <c r="O81" s="33"/>
      <c r="P81" s="31"/>
    </row>
    <row r="82" spans="1:17" s="24" customFormat="1" ht="13.25" customHeight="1" x14ac:dyDescent="0.15">
      <c r="A82" s="24">
        <v>17</v>
      </c>
      <c r="B82" s="13" t="s">
        <v>76</v>
      </c>
      <c r="C82" s="36">
        <v>50694</v>
      </c>
      <c r="D82" s="37">
        <v>1</v>
      </c>
      <c r="E82" s="37">
        <v>16</v>
      </c>
      <c r="F82" s="40">
        <v>88.5</v>
      </c>
      <c r="G82" s="25" t="s">
        <v>7</v>
      </c>
      <c r="H82" s="38">
        <v>1.222</v>
      </c>
      <c r="I82" s="31" t="s">
        <v>7</v>
      </c>
      <c r="J82" s="31" t="s">
        <v>7</v>
      </c>
      <c r="K82" s="39">
        <v>5.5</v>
      </c>
      <c r="L82" s="31" t="s">
        <v>6</v>
      </c>
      <c r="M82" s="31" t="s">
        <v>6</v>
      </c>
      <c r="N82" s="32" t="s">
        <v>7</v>
      </c>
      <c r="O82" s="33">
        <v>1</v>
      </c>
      <c r="P82" s="31" t="s">
        <v>18</v>
      </c>
      <c r="Q82" s="24" t="s">
        <v>300</v>
      </c>
    </row>
    <row r="83" spans="1:17" s="24" customFormat="1" ht="13.25" customHeight="1" x14ac:dyDescent="0.15">
      <c r="B83" s="13" t="s">
        <v>76</v>
      </c>
      <c r="C83" s="36">
        <v>280695</v>
      </c>
      <c r="D83" s="37">
        <v>2</v>
      </c>
      <c r="E83" s="37">
        <v>22</v>
      </c>
      <c r="F83" s="31">
        <f>483/5.48</f>
        <v>88.138686131386848</v>
      </c>
      <c r="G83" s="25" t="s">
        <v>7</v>
      </c>
      <c r="H83" s="38">
        <v>1.3460000000000001</v>
      </c>
      <c r="I83" s="31" t="s">
        <v>7</v>
      </c>
      <c r="J83" s="31" t="s">
        <v>7</v>
      </c>
      <c r="K83" s="39">
        <v>4.5</v>
      </c>
      <c r="L83" s="31" t="s">
        <v>6</v>
      </c>
      <c r="M83" s="31" t="s">
        <v>6</v>
      </c>
      <c r="N83" s="32" t="s">
        <v>7</v>
      </c>
      <c r="O83" s="33">
        <v>1</v>
      </c>
      <c r="P83" s="31" t="s">
        <v>17</v>
      </c>
    </row>
    <row r="84" spans="1:17" s="24" customFormat="1" ht="13.25" customHeight="1" x14ac:dyDescent="0.15">
      <c r="B84" s="13" t="s">
        <v>76</v>
      </c>
      <c r="C84" s="36">
        <v>140800</v>
      </c>
      <c r="D84" s="37">
        <v>3</v>
      </c>
      <c r="E84" s="37">
        <v>26</v>
      </c>
      <c r="F84" s="44">
        <v>90</v>
      </c>
      <c r="G84" s="25" t="s">
        <v>7</v>
      </c>
      <c r="H84" s="38" t="s">
        <v>64</v>
      </c>
      <c r="I84" s="31" t="s">
        <v>7</v>
      </c>
      <c r="J84" s="31" t="s">
        <v>7</v>
      </c>
      <c r="K84" s="39">
        <v>5</v>
      </c>
      <c r="L84" s="31" t="s">
        <v>6</v>
      </c>
      <c r="M84" s="31" t="s">
        <v>6</v>
      </c>
      <c r="N84" s="32" t="s">
        <v>7</v>
      </c>
      <c r="O84" s="33">
        <v>1</v>
      </c>
      <c r="P84" s="31" t="s">
        <v>16</v>
      </c>
    </row>
    <row r="85" spans="1:17" s="24" customFormat="1" ht="13.25" customHeight="1" x14ac:dyDescent="0.15">
      <c r="B85" s="13" t="s">
        <v>76</v>
      </c>
      <c r="C85" s="36">
        <v>150505</v>
      </c>
      <c r="D85" s="37">
        <v>4</v>
      </c>
      <c r="E85" s="37">
        <v>12</v>
      </c>
      <c r="F85" s="44">
        <f>327/5.47</f>
        <v>59.78062157221207</v>
      </c>
      <c r="G85" s="44">
        <f>4539980/195474.81</f>
        <v>23.225396663641725</v>
      </c>
      <c r="H85" s="38">
        <v>2.4460000000000002</v>
      </c>
      <c r="I85" s="31">
        <f>109/5.47</f>
        <v>19.926873857404022</v>
      </c>
      <c r="J85" s="31" t="s">
        <v>7</v>
      </c>
      <c r="K85" s="39">
        <v>5</v>
      </c>
      <c r="L85" s="31" t="s">
        <v>6</v>
      </c>
      <c r="M85" s="31" t="s">
        <v>6</v>
      </c>
      <c r="N85" s="32" t="s">
        <v>7</v>
      </c>
      <c r="O85" s="33">
        <v>1</v>
      </c>
      <c r="P85" s="31"/>
    </row>
    <row r="86" spans="1:17" s="24" customFormat="1" ht="13.25" customHeight="1" x14ac:dyDescent="0.15">
      <c r="B86" s="13" t="s">
        <v>28</v>
      </c>
      <c r="C86" s="36">
        <v>52310</v>
      </c>
      <c r="D86" s="37">
        <v>5</v>
      </c>
      <c r="E86" s="37">
        <v>9</v>
      </c>
      <c r="F86" s="44">
        <v>91.224862888482605</v>
      </c>
      <c r="G86" s="44" t="s">
        <v>7</v>
      </c>
      <c r="H86" s="38">
        <v>1.198</v>
      </c>
      <c r="I86" s="31">
        <v>4.3875685557586799</v>
      </c>
      <c r="J86" s="31" t="s">
        <v>7</v>
      </c>
      <c r="K86" s="39">
        <v>5</v>
      </c>
      <c r="L86" s="31" t="s">
        <v>6</v>
      </c>
      <c r="M86" s="31" t="s">
        <v>6</v>
      </c>
      <c r="N86" s="32" t="s">
        <v>7</v>
      </c>
      <c r="O86" s="33">
        <v>1</v>
      </c>
      <c r="P86" s="31"/>
      <c r="Q86" s="24" t="s">
        <v>256</v>
      </c>
    </row>
    <row r="87" spans="1:17" s="24" customFormat="1" ht="13.25" customHeight="1" x14ac:dyDescent="0.15">
      <c r="B87" s="13" t="s">
        <v>76</v>
      </c>
      <c r="C87" s="36">
        <v>240515</v>
      </c>
      <c r="D87" s="37">
        <v>6</v>
      </c>
      <c r="E87" s="37">
        <v>7</v>
      </c>
      <c r="F87" s="44">
        <v>91.4</v>
      </c>
      <c r="G87" s="44" t="s">
        <v>7</v>
      </c>
      <c r="H87" s="38"/>
      <c r="I87" s="31">
        <v>4.18</v>
      </c>
      <c r="J87" s="31" t="s">
        <v>7</v>
      </c>
      <c r="K87" s="39">
        <v>6</v>
      </c>
      <c r="L87" s="31" t="s">
        <v>224</v>
      </c>
      <c r="M87" s="31" t="s">
        <v>6</v>
      </c>
      <c r="N87" s="32" t="s">
        <v>9</v>
      </c>
      <c r="O87" s="33">
        <v>1</v>
      </c>
      <c r="P87" s="31"/>
      <c r="Q87" s="24" t="s">
        <v>292</v>
      </c>
    </row>
    <row r="88" spans="1:17" s="24" customFormat="1" ht="13.25" customHeight="1" x14ac:dyDescent="0.15">
      <c r="A88" s="24">
        <v>18</v>
      </c>
      <c r="B88" s="13" t="s">
        <v>77</v>
      </c>
      <c r="C88" s="36">
        <v>160990</v>
      </c>
      <c r="D88" s="37">
        <v>1</v>
      </c>
      <c r="E88" s="37">
        <v>8</v>
      </c>
      <c r="F88" s="40">
        <v>52.5</v>
      </c>
      <c r="G88" s="25" t="s">
        <v>7</v>
      </c>
      <c r="H88" s="38">
        <v>3.0019999999999998</v>
      </c>
      <c r="I88" s="31">
        <f>20/1.2</f>
        <v>16.666666666666668</v>
      </c>
      <c r="J88" s="31" t="s">
        <v>7</v>
      </c>
      <c r="K88" s="39">
        <v>4</v>
      </c>
      <c r="L88" s="31" t="s">
        <v>6</v>
      </c>
      <c r="M88" s="31" t="s">
        <v>6</v>
      </c>
      <c r="N88" s="32" t="s">
        <v>9</v>
      </c>
      <c r="O88" s="33">
        <v>1</v>
      </c>
      <c r="P88" s="31"/>
    </row>
    <row r="89" spans="1:17" s="24" customFormat="1" ht="13.25" customHeight="1" x14ac:dyDescent="0.15">
      <c r="B89" s="13" t="s">
        <v>77</v>
      </c>
      <c r="C89" s="36">
        <v>151296</v>
      </c>
      <c r="D89" s="37">
        <v>2</v>
      </c>
      <c r="E89" s="37">
        <v>13</v>
      </c>
      <c r="F89" s="44">
        <v>70</v>
      </c>
      <c r="G89" s="25" t="s">
        <v>7</v>
      </c>
      <c r="H89" s="38">
        <v>1.9490000000000001</v>
      </c>
      <c r="I89" s="31">
        <f>10/1.2</f>
        <v>8.3333333333333339</v>
      </c>
      <c r="J89" s="31" t="s">
        <v>7</v>
      </c>
      <c r="K89" s="39">
        <v>4.5</v>
      </c>
      <c r="L89" s="31" t="s">
        <v>6</v>
      </c>
      <c r="M89" s="31" t="s">
        <v>6</v>
      </c>
      <c r="N89" s="32" t="s">
        <v>9</v>
      </c>
      <c r="O89" s="33">
        <v>1</v>
      </c>
      <c r="P89" s="31"/>
    </row>
    <row r="90" spans="1:17" s="24" customFormat="1" ht="13.25" customHeight="1" x14ac:dyDescent="0.15">
      <c r="B90" s="13" t="s">
        <v>77</v>
      </c>
      <c r="C90" s="36">
        <v>231201</v>
      </c>
      <c r="D90" s="37">
        <v>3</v>
      </c>
      <c r="E90" s="37"/>
      <c r="F90" s="44">
        <v>70.833330000000004</v>
      </c>
      <c r="G90" s="25" t="s">
        <v>7</v>
      </c>
      <c r="H90" s="38">
        <v>1.8794048999999999</v>
      </c>
      <c r="I90" s="31">
        <v>6.666666666666667</v>
      </c>
      <c r="J90" s="31" t="s">
        <v>7</v>
      </c>
      <c r="K90" s="39">
        <v>4.5</v>
      </c>
      <c r="L90" s="31" t="s">
        <v>6</v>
      </c>
      <c r="M90" s="31" t="s">
        <v>6</v>
      </c>
      <c r="N90" s="32" t="s">
        <v>9</v>
      </c>
      <c r="O90" s="33">
        <v>1</v>
      </c>
      <c r="P90" s="31"/>
      <c r="Q90" s="24" t="s">
        <v>258</v>
      </c>
    </row>
    <row r="91" spans="1:17" s="24" customFormat="1" ht="13.25" customHeight="1" x14ac:dyDescent="0.15">
      <c r="B91" s="13" t="s">
        <v>77</v>
      </c>
      <c r="C91" s="36">
        <v>171206</v>
      </c>
      <c r="D91" s="37">
        <v>4</v>
      </c>
      <c r="E91" s="37">
        <v>13</v>
      </c>
      <c r="F91" s="44">
        <f>82/1.2</f>
        <v>68.333333333333343</v>
      </c>
      <c r="G91" s="25" t="s">
        <v>7</v>
      </c>
      <c r="H91" s="38">
        <v>2.089</v>
      </c>
      <c r="I91" s="31">
        <v>6.666666666666667</v>
      </c>
      <c r="J91" s="31" t="s">
        <v>7</v>
      </c>
      <c r="K91" s="39">
        <v>5</v>
      </c>
      <c r="L91" s="31" t="s">
        <v>6</v>
      </c>
      <c r="M91" s="31" t="s">
        <v>6</v>
      </c>
      <c r="N91" s="32" t="s">
        <v>9</v>
      </c>
      <c r="O91" s="33">
        <v>1</v>
      </c>
      <c r="P91" s="31"/>
      <c r="Q91" s="24" t="s">
        <v>257</v>
      </c>
    </row>
    <row r="92" spans="1:17" s="24" customFormat="1" ht="13.25" customHeight="1" x14ac:dyDescent="0.15">
      <c r="B92" s="13" t="s">
        <v>77</v>
      </c>
      <c r="C92" s="36">
        <v>171211</v>
      </c>
      <c r="D92" s="37">
        <v>5</v>
      </c>
      <c r="E92" s="37">
        <v>5</v>
      </c>
      <c r="F92" s="44">
        <v>95</v>
      </c>
      <c r="G92" s="44">
        <v>74.2</v>
      </c>
      <c r="H92" s="38">
        <v>1.1060000000000001</v>
      </c>
      <c r="I92" s="31">
        <v>2.5</v>
      </c>
      <c r="J92" s="31">
        <v>4.3</v>
      </c>
      <c r="K92" s="39">
        <v>5.5</v>
      </c>
      <c r="L92" s="31" t="s">
        <v>6</v>
      </c>
      <c r="M92" s="31" t="s">
        <v>6</v>
      </c>
      <c r="N92" s="32" t="s">
        <v>9</v>
      </c>
      <c r="O92" s="33">
        <v>1</v>
      </c>
      <c r="P92" s="31"/>
      <c r="Q92" s="24" t="s">
        <v>213</v>
      </c>
    </row>
    <row r="93" spans="1:17" s="24" customFormat="1" ht="13.25" customHeight="1" x14ac:dyDescent="0.15">
      <c r="A93" s="24">
        <v>19</v>
      </c>
      <c r="B93" s="13" t="s">
        <v>78</v>
      </c>
      <c r="C93" s="36">
        <v>290492</v>
      </c>
      <c r="D93" s="37">
        <v>1</v>
      </c>
      <c r="E93" s="37">
        <v>3</v>
      </c>
      <c r="F93" s="40">
        <v>69.400000000000006</v>
      </c>
      <c r="G93" s="25">
        <v>58.1</v>
      </c>
      <c r="H93" s="38">
        <v>1.944</v>
      </c>
      <c r="I93" s="31">
        <v>16.666666666666668</v>
      </c>
      <c r="J93" s="32">
        <v>24.29</v>
      </c>
      <c r="K93" s="39">
        <v>1.5</v>
      </c>
      <c r="L93" s="31" t="s">
        <v>6</v>
      </c>
      <c r="M93" s="31" t="s">
        <v>6</v>
      </c>
      <c r="N93" s="32" t="s">
        <v>6</v>
      </c>
      <c r="O93" s="33">
        <v>0</v>
      </c>
      <c r="P93" s="31"/>
    </row>
    <row r="94" spans="1:17" s="24" customFormat="1" ht="13.25" customHeight="1" x14ac:dyDescent="0.15">
      <c r="B94" s="13" t="s">
        <v>78</v>
      </c>
      <c r="C94" s="36">
        <v>20197</v>
      </c>
      <c r="D94" s="37">
        <v>2</v>
      </c>
      <c r="E94" s="37">
        <v>4</v>
      </c>
      <c r="F94" s="44">
        <v>77.3</v>
      </c>
      <c r="G94" s="44">
        <v>52.2</v>
      </c>
      <c r="H94" s="38">
        <v>1.6</v>
      </c>
      <c r="I94" s="31">
        <v>15.555555555555555</v>
      </c>
      <c r="J94" s="31">
        <v>33.97</v>
      </c>
      <c r="K94" s="39">
        <v>6.5</v>
      </c>
      <c r="L94" s="31" t="s">
        <v>6</v>
      </c>
      <c r="M94" s="31" t="s">
        <v>6</v>
      </c>
      <c r="N94" s="32" t="s">
        <v>9</v>
      </c>
      <c r="O94" s="33">
        <v>0</v>
      </c>
      <c r="P94" s="31"/>
    </row>
    <row r="95" spans="1:17" s="24" customFormat="1" ht="13.25" customHeight="1" x14ac:dyDescent="0.15">
      <c r="B95" s="13" t="s">
        <v>78</v>
      </c>
      <c r="C95" s="36">
        <v>170102</v>
      </c>
      <c r="D95" s="37">
        <v>3</v>
      </c>
      <c r="E95" s="37">
        <v>3</v>
      </c>
      <c r="F95" s="44">
        <v>84.905659999999997</v>
      </c>
      <c r="G95" s="44" t="s">
        <v>7</v>
      </c>
      <c r="H95" s="38">
        <v>1.3837438</v>
      </c>
      <c r="I95" s="31">
        <v>4.166666666666667</v>
      </c>
      <c r="J95" s="31" t="s">
        <v>7</v>
      </c>
      <c r="K95" s="39">
        <v>4</v>
      </c>
      <c r="L95" s="31" t="s">
        <v>6</v>
      </c>
      <c r="M95" s="31" t="s">
        <v>6</v>
      </c>
      <c r="N95" s="32" t="s">
        <v>9</v>
      </c>
      <c r="O95" s="33">
        <v>0</v>
      </c>
      <c r="P95" s="31"/>
    </row>
    <row r="96" spans="1:17" s="24" customFormat="1" ht="13.25" customHeight="1" x14ac:dyDescent="0.15">
      <c r="B96" s="13" t="s">
        <v>78</v>
      </c>
      <c r="C96" s="36">
        <v>250107</v>
      </c>
      <c r="D96" s="37">
        <v>4</v>
      </c>
      <c r="E96" s="37">
        <v>3</v>
      </c>
      <c r="F96" s="44">
        <f>48/0.53</f>
        <v>90.566037735849051</v>
      </c>
      <c r="G96" s="44">
        <f>157392/2634.61</f>
        <v>59.740151293739871</v>
      </c>
      <c r="H96" s="38">
        <v>1.208</v>
      </c>
      <c r="I96" s="31">
        <v>8.3333333333333339</v>
      </c>
      <c r="J96" s="31">
        <v>21.8</v>
      </c>
      <c r="K96" s="39">
        <v>4.5</v>
      </c>
      <c r="L96" s="31" t="s">
        <v>6</v>
      </c>
      <c r="M96" s="31" t="s">
        <v>6</v>
      </c>
      <c r="N96" s="32" t="s">
        <v>9</v>
      </c>
      <c r="O96" s="33">
        <v>0</v>
      </c>
      <c r="P96" s="31"/>
    </row>
    <row r="97" spans="1:17" s="24" customFormat="1" ht="13.25" customHeight="1" x14ac:dyDescent="0.15">
      <c r="B97" s="13" t="s">
        <v>78</v>
      </c>
      <c r="C97" s="36">
        <v>290312</v>
      </c>
      <c r="D97" s="37">
        <v>5</v>
      </c>
      <c r="E97" s="37">
        <v>2</v>
      </c>
      <c r="F97" s="44">
        <v>89.6</v>
      </c>
      <c r="G97" s="44">
        <v>51.82</v>
      </c>
      <c r="H97" s="38">
        <v>1.2450000000000001</v>
      </c>
      <c r="I97" s="31">
        <v>2.1</v>
      </c>
      <c r="J97" s="31">
        <v>9.43</v>
      </c>
      <c r="K97" s="39">
        <v>5.5</v>
      </c>
      <c r="L97" s="31" t="s">
        <v>6</v>
      </c>
      <c r="M97" s="31" t="s">
        <v>6</v>
      </c>
      <c r="N97" s="32" t="s">
        <v>9</v>
      </c>
      <c r="O97" s="33">
        <v>0</v>
      </c>
      <c r="P97" s="31"/>
    </row>
    <row r="98" spans="1:17" s="24" customFormat="1" ht="13.25" customHeight="1" x14ac:dyDescent="0.15">
      <c r="A98" s="24">
        <v>20</v>
      </c>
      <c r="B98" s="13" t="s">
        <v>79</v>
      </c>
      <c r="C98" s="36">
        <v>291292</v>
      </c>
      <c r="D98" s="37">
        <v>1</v>
      </c>
      <c r="E98" s="37">
        <v>3</v>
      </c>
      <c r="F98" s="40">
        <v>94.5</v>
      </c>
      <c r="G98" s="25">
        <v>77.5</v>
      </c>
      <c r="H98" s="38">
        <v>1.1180000000000001</v>
      </c>
      <c r="I98" s="31">
        <v>4</v>
      </c>
      <c r="J98" s="31">
        <v>19.239999999999998</v>
      </c>
      <c r="K98" s="39">
        <v>5</v>
      </c>
      <c r="L98" s="31" t="s">
        <v>6</v>
      </c>
      <c r="M98" s="31" t="s">
        <v>7</v>
      </c>
      <c r="N98" s="32" t="s">
        <v>6</v>
      </c>
      <c r="O98" s="33">
        <v>0</v>
      </c>
      <c r="P98" s="31"/>
    </row>
    <row r="99" spans="1:17" s="24" customFormat="1" ht="13.25" customHeight="1" x14ac:dyDescent="0.15">
      <c r="B99" s="13" t="s">
        <v>79</v>
      </c>
      <c r="C99" s="36">
        <v>71296</v>
      </c>
      <c r="D99" s="37">
        <v>2</v>
      </c>
      <c r="E99" s="37">
        <v>4</v>
      </c>
      <c r="F99" s="44">
        <v>66.5</v>
      </c>
      <c r="G99" s="44">
        <v>53</v>
      </c>
      <c r="H99" s="38">
        <v>1.877</v>
      </c>
      <c r="I99" s="31">
        <v>30</v>
      </c>
      <c r="J99" s="31" t="s">
        <v>7</v>
      </c>
      <c r="K99" s="39">
        <v>3.5</v>
      </c>
      <c r="L99" s="31" t="s">
        <v>6</v>
      </c>
      <c r="M99" s="31" t="s">
        <v>6</v>
      </c>
      <c r="N99" s="32" t="s">
        <v>6</v>
      </c>
      <c r="O99" s="33">
        <v>0</v>
      </c>
      <c r="P99" s="31"/>
    </row>
    <row r="100" spans="1:17" s="24" customFormat="1" ht="13.25" customHeight="1" x14ac:dyDescent="0.15">
      <c r="B100" s="13" t="s">
        <v>79</v>
      </c>
      <c r="C100" s="36">
        <v>71200</v>
      </c>
      <c r="D100" s="37">
        <v>3</v>
      </c>
      <c r="E100" s="37">
        <v>4</v>
      </c>
      <c r="F100" s="44">
        <f>9900/200</f>
        <v>49.5</v>
      </c>
      <c r="G100" s="44">
        <v>44.98</v>
      </c>
      <c r="H100" s="38">
        <v>2.17</v>
      </c>
      <c r="I100" s="31">
        <v>46</v>
      </c>
      <c r="J100" s="31">
        <v>41.21</v>
      </c>
      <c r="K100" s="39">
        <v>2.5</v>
      </c>
      <c r="L100" s="31" t="s">
        <v>6</v>
      </c>
      <c r="M100" s="31" t="s">
        <v>9</v>
      </c>
      <c r="N100" s="32" t="s">
        <v>6</v>
      </c>
      <c r="O100" s="33">
        <v>0</v>
      </c>
      <c r="P100" s="31"/>
    </row>
    <row r="101" spans="1:17" s="24" customFormat="1" ht="13.25" customHeight="1" x14ac:dyDescent="0.15">
      <c r="B101" s="13" t="s">
        <v>79</v>
      </c>
      <c r="C101" s="36">
        <v>71204</v>
      </c>
      <c r="D101" s="37">
        <v>4</v>
      </c>
      <c r="E101" s="37">
        <v>4</v>
      </c>
      <c r="F101" s="44">
        <f>128/2.3</f>
        <v>55.652173913043484</v>
      </c>
      <c r="G101" s="44">
        <v>52.54</v>
      </c>
      <c r="H101" s="38">
        <v>2.0939999999999999</v>
      </c>
      <c r="I101" s="31">
        <f>9400/230</f>
        <v>40.869565217391305</v>
      </c>
      <c r="J101" s="31">
        <v>40.86</v>
      </c>
      <c r="K101" s="39">
        <v>2</v>
      </c>
      <c r="L101" s="31" t="s">
        <v>6</v>
      </c>
      <c r="M101" s="31" t="s">
        <v>6</v>
      </c>
      <c r="N101" s="32" t="s">
        <v>6</v>
      </c>
      <c r="O101" s="33">
        <v>0</v>
      </c>
      <c r="P101" s="31"/>
    </row>
    <row r="102" spans="1:17" s="24" customFormat="1" ht="13.25" customHeight="1" x14ac:dyDescent="0.15">
      <c r="B102" s="13" t="s">
        <v>79</v>
      </c>
      <c r="C102" s="36">
        <v>71208</v>
      </c>
      <c r="D102" s="37">
        <v>5</v>
      </c>
      <c r="E102" s="37">
        <v>4</v>
      </c>
      <c r="F102" s="44">
        <v>49.565217391304401</v>
      </c>
      <c r="G102" s="44">
        <v>46.9</v>
      </c>
      <c r="H102" s="38">
        <v>2.1640000000000001</v>
      </c>
      <c r="I102" s="31">
        <v>46.5</v>
      </c>
      <c r="J102" s="31">
        <v>44.17</v>
      </c>
      <c r="K102" s="39">
        <v>1.5</v>
      </c>
      <c r="L102" s="31" t="s">
        <v>6</v>
      </c>
      <c r="M102" s="31" t="s">
        <v>6</v>
      </c>
      <c r="N102" s="32" t="s">
        <v>6</v>
      </c>
      <c r="O102" s="33">
        <v>0</v>
      </c>
      <c r="P102" s="31"/>
    </row>
    <row r="103" spans="1:17" s="24" customFormat="1" ht="13.25" customHeight="1" x14ac:dyDescent="0.15">
      <c r="B103" s="13" t="s">
        <v>79</v>
      </c>
      <c r="C103" s="36">
        <v>71212</v>
      </c>
      <c r="D103" s="37">
        <v>6</v>
      </c>
      <c r="E103" s="37">
        <v>4</v>
      </c>
      <c r="F103" s="44">
        <v>53.8</v>
      </c>
      <c r="G103" s="44">
        <v>46.4</v>
      </c>
      <c r="H103" s="38">
        <v>2.0419999999999998</v>
      </c>
      <c r="I103" s="31">
        <v>44.7</v>
      </c>
      <c r="J103" s="31">
        <v>47.5</v>
      </c>
      <c r="K103" s="39">
        <v>1.5</v>
      </c>
      <c r="L103" s="31" t="s">
        <v>6</v>
      </c>
      <c r="M103" s="31" t="s">
        <v>6</v>
      </c>
      <c r="N103" s="32" t="s">
        <v>6</v>
      </c>
      <c r="O103" s="33">
        <v>0</v>
      </c>
      <c r="P103" s="31"/>
    </row>
    <row r="104" spans="1:17" s="24" customFormat="1" ht="13.25" customHeight="1" x14ac:dyDescent="0.15">
      <c r="A104" s="24">
        <v>21</v>
      </c>
      <c r="B104" s="13" t="s">
        <v>80</v>
      </c>
      <c r="C104" s="36">
        <v>110695</v>
      </c>
      <c r="D104" s="37">
        <v>1</v>
      </c>
      <c r="E104" s="37">
        <v>9</v>
      </c>
      <c r="F104" s="40">
        <v>62.2</v>
      </c>
      <c r="G104" s="25">
        <v>53.5</v>
      </c>
      <c r="H104" s="38">
        <v>2.34</v>
      </c>
      <c r="I104" s="31">
        <v>16.666666666666668</v>
      </c>
      <c r="J104" s="31" t="s">
        <v>7</v>
      </c>
      <c r="K104" s="39">
        <v>5.5</v>
      </c>
      <c r="L104" s="31" t="s">
        <v>6</v>
      </c>
      <c r="M104" s="31" t="s">
        <v>9</v>
      </c>
      <c r="N104" s="32" t="s">
        <v>9</v>
      </c>
      <c r="O104" s="33">
        <v>0</v>
      </c>
      <c r="P104" s="31"/>
    </row>
    <row r="105" spans="1:17" s="24" customFormat="1" ht="13.25" customHeight="1" x14ac:dyDescent="0.15">
      <c r="B105" s="13" t="s">
        <v>80</v>
      </c>
      <c r="C105" s="36">
        <v>300602</v>
      </c>
      <c r="D105" s="37">
        <v>2</v>
      </c>
      <c r="E105" s="37">
        <v>6</v>
      </c>
      <c r="F105" s="40">
        <v>74.561400000000006</v>
      </c>
      <c r="G105" s="40">
        <v>61.6</v>
      </c>
      <c r="H105" s="38">
        <v>1.6864781</v>
      </c>
      <c r="I105" s="31">
        <v>17.543859649122808</v>
      </c>
      <c r="J105" s="31">
        <v>26.63</v>
      </c>
      <c r="K105" s="39">
        <v>5.5</v>
      </c>
      <c r="L105" s="31" t="s">
        <v>6</v>
      </c>
      <c r="M105" s="31" t="s">
        <v>6</v>
      </c>
      <c r="N105" s="32" t="s">
        <v>9</v>
      </c>
      <c r="O105" s="33">
        <v>0</v>
      </c>
      <c r="P105" s="31"/>
    </row>
    <row r="106" spans="1:17" s="24" customFormat="1" ht="13.25" customHeight="1" x14ac:dyDescent="0.15">
      <c r="B106" s="13" t="s">
        <v>80</v>
      </c>
      <c r="C106" s="36">
        <v>280913</v>
      </c>
      <c r="D106" s="37">
        <v>3</v>
      </c>
      <c r="E106" s="37">
        <v>15</v>
      </c>
      <c r="F106" s="40">
        <v>46.5</v>
      </c>
      <c r="G106" s="40">
        <v>46.26</v>
      </c>
      <c r="H106" s="38">
        <v>3.0249999999999999</v>
      </c>
      <c r="I106" s="31">
        <v>32.5</v>
      </c>
      <c r="J106" s="31">
        <v>30.48</v>
      </c>
      <c r="K106" s="39">
        <v>5.5</v>
      </c>
      <c r="L106" s="31" t="s">
        <v>6</v>
      </c>
      <c r="M106" s="31" t="s">
        <v>9</v>
      </c>
      <c r="N106" s="32" t="s">
        <v>9</v>
      </c>
      <c r="O106" s="33">
        <v>0</v>
      </c>
      <c r="P106" s="31"/>
      <c r="Q106" s="24" t="s">
        <v>253</v>
      </c>
    </row>
    <row r="107" spans="1:17" s="24" customFormat="1" ht="13.25" customHeight="1" x14ac:dyDescent="0.15">
      <c r="A107" s="24">
        <v>22</v>
      </c>
      <c r="B107" s="13" t="s">
        <v>81</v>
      </c>
      <c r="C107" s="36">
        <v>30794</v>
      </c>
      <c r="D107" s="37">
        <v>1</v>
      </c>
      <c r="E107" s="37">
        <v>5</v>
      </c>
      <c r="F107" s="40">
        <v>62</v>
      </c>
      <c r="G107" s="25">
        <v>46.4</v>
      </c>
      <c r="H107" s="38">
        <v>2.2799999999999998</v>
      </c>
      <c r="I107" s="31">
        <v>19</v>
      </c>
      <c r="J107" s="32">
        <v>19.78</v>
      </c>
      <c r="K107" s="39">
        <v>3.5</v>
      </c>
      <c r="L107" s="31" t="s">
        <v>6</v>
      </c>
      <c r="M107" s="31" t="s">
        <v>6</v>
      </c>
      <c r="N107" s="32" t="s">
        <v>6</v>
      </c>
      <c r="O107" s="33">
        <v>0</v>
      </c>
      <c r="P107" s="31"/>
    </row>
    <row r="108" spans="1:17" s="24" customFormat="1" ht="13.25" customHeight="1" x14ac:dyDescent="0.15">
      <c r="B108" s="13" t="s">
        <v>99</v>
      </c>
      <c r="C108" s="36">
        <v>281199</v>
      </c>
      <c r="D108" s="37">
        <v>2</v>
      </c>
      <c r="E108" s="37">
        <v>8</v>
      </c>
      <c r="F108" s="40">
        <v>37</v>
      </c>
      <c r="G108" s="40">
        <v>28.91</v>
      </c>
      <c r="H108" s="38">
        <v>3.66</v>
      </c>
      <c r="I108" s="39">
        <v>28.431372549019606</v>
      </c>
      <c r="J108" s="39">
        <v>19.27</v>
      </c>
      <c r="K108" s="39">
        <v>4</v>
      </c>
      <c r="L108" s="39" t="s">
        <v>6</v>
      </c>
      <c r="M108" s="31" t="s">
        <v>9</v>
      </c>
      <c r="N108" s="32" t="s">
        <v>6</v>
      </c>
      <c r="O108" s="33">
        <v>0</v>
      </c>
      <c r="P108" s="31"/>
    </row>
    <row r="109" spans="1:17" s="24" customFormat="1" ht="13.25" customHeight="1" x14ac:dyDescent="0.15">
      <c r="B109" s="13" t="s">
        <v>99</v>
      </c>
      <c r="C109" s="36">
        <v>280304</v>
      </c>
      <c r="D109" s="37">
        <v>3</v>
      </c>
      <c r="E109" s="37">
        <v>5</v>
      </c>
      <c r="F109" s="40">
        <v>45</v>
      </c>
      <c r="G109" s="40">
        <f>145316/4289.37</f>
        <v>33.878168588860369</v>
      </c>
      <c r="H109" s="38">
        <v>2.8220000000000001</v>
      </c>
      <c r="I109" s="39">
        <v>35</v>
      </c>
      <c r="J109" s="39">
        <v>26.5</v>
      </c>
      <c r="K109" s="39">
        <v>4</v>
      </c>
      <c r="L109" s="39" t="s">
        <v>9</v>
      </c>
      <c r="M109" s="31" t="s">
        <v>9</v>
      </c>
      <c r="N109" s="32" t="s">
        <v>9</v>
      </c>
      <c r="O109" s="33">
        <v>0</v>
      </c>
      <c r="P109" s="31"/>
    </row>
    <row r="110" spans="1:17" s="24" customFormat="1" ht="13.25" customHeight="1" x14ac:dyDescent="0.15">
      <c r="B110" s="13" t="s">
        <v>29</v>
      </c>
      <c r="C110" s="36">
        <v>161108</v>
      </c>
      <c r="D110" s="37">
        <v>4</v>
      </c>
      <c r="E110" s="37">
        <v>5</v>
      </c>
      <c r="F110" s="40">
        <v>67</v>
      </c>
      <c r="G110" s="40">
        <v>49.52</v>
      </c>
      <c r="H110" s="38">
        <v>1.89</v>
      </c>
      <c r="I110" s="39">
        <v>28</v>
      </c>
      <c r="J110" s="39">
        <v>25.21</v>
      </c>
      <c r="K110" s="39">
        <v>4</v>
      </c>
      <c r="L110" s="39" t="s">
        <v>6</v>
      </c>
      <c r="M110" s="31" t="s">
        <v>6</v>
      </c>
      <c r="N110" s="32" t="s">
        <v>9</v>
      </c>
      <c r="O110" s="33">
        <v>0</v>
      </c>
      <c r="P110" s="31"/>
    </row>
    <row r="111" spans="1:17" s="24" customFormat="1" ht="13.25" customHeight="1" x14ac:dyDescent="0.15">
      <c r="B111" s="13" t="s">
        <v>99</v>
      </c>
      <c r="C111" s="36">
        <v>130414</v>
      </c>
      <c r="D111" s="37">
        <v>5</v>
      </c>
      <c r="E111" s="37">
        <v>5</v>
      </c>
      <c r="F111" s="40">
        <v>55.9</v>
      </c>
      <c r="G111" s="40">
        <v>47.31</v>
      </c>
      <c r="H111" s="38">
        <v>2.1080000000000001</v>
      </c>
      <c r="I111" s="39">
        <v>40.200000000000003</v>
      </c>
      <c r="J111" s="39">
        <v>31.14</v>
      </c>
      <c r="K111" s="39">
        <v>5</v>
      </c>
      <c r="L111" s="39" t="s">
        <v>6</v>
      </c>
      <c r="M111" s="31" t="s">
        <v>6</v>
      </c>
      <c r="N111" s="32" t="s">
        <v>9</v>
      </c>
      <c r="O111" s="33">
        <v>0</v>
      </c>
      <c r="P111" s="31"/>
      <c r="Q111" s="24" t="s">
        <v>259</v>
      </c>
    </row>
    <row r="112" spans="1:17" s="24" customFormat="1" ht="13.25" customHeight="1" x14ac:dyDescent="0.15">
      <c r="A112" s="24">
        <v>23</v>
      </c>
      <c r="B112" s="13" t="s">
        <v>82</v>
      </c>
      <c r="C112" s="36">
        <v>291292</v>
      </c>
      <c r="D112" s="37">
        <v>1</v>
      </c>
      <c r="E112" s="37">
        <v>7</v>
      </c>
      <c r="F112" s="40">
        <v>56</v>
      </c>
      <c r="G112" s="25" t="s">
        <v>7</v>
      </c>
      <c r="H112" s="38">
        <v>2.8380000000000001</v>
      </c>
      <c r="I112" s="31">
        <v>15.5</v>
      </c>
      <c r="J112" s="31" t="s">
        <v>7</v>
      </c>
      <c r="K112" s="39">
        <v>4.5</v>
      </c>
      <c r="L112" s="31" t="s">
        <v>6</v>
      </c>
      <c r="M112" s="31" t="s">
        <v>6</v>
      </c>
      <c r="N112" s="32" t="s">
        <v>6</v>
      </c>
      <c r="O112" s="33">
        <v>0</v>
      </c>
      <c r="P112" s="31"/>
    </row>
    <row r="113" spans="1:17" s="24" customFormat="1" ht="13.25" customHeight="1" x14ac:dyDescent="0.15">
      <c r="B113" s="13" t="s">
        <v>82</v>
      </c>
      <c r="C113" s="36">
        <v>291297</v>
      </c>
      <c r="D113" s="37">
        <v>2</v>
      </c>
      <c r="E113" s="37">
        <v>10</v>
      </c>
      <c r="F113" s="44">
        <v>50.900900900900901</v>
      </c>
      <c r="G113" s="25" t="s">
        <v>7</v>
      </c>
      <c r="H113" s="38">
        <v>3.1179999999999999</v>
      </c>
      <c r="I113" s="31">
        <v>18.468468468468469</v>
      </c>
      <c r="J113" s="31" t="s">
        <v>7</v>
      </c>
      <c r="K113" s="39">
        <v>6</v>
      </c>
      <c r="L113" s="31" t="s">
        <v>6</v>
      </c>
      <c r="M113" s="31" t="s">
        <v>6</v>
      </c>
      <c r="N113" s="32" t="s">
        <v>6</v>
      </c>
      <c r="O113" s="33">
        <v>0</v>
      </c>
      <c r="P113" s="31"/>
    </row>
    <row r="114" spans="1:17" s="24" customFormat="1" ht="13.25" customHeight="1" x14ac:dyDescent="0.15">
      <c r="B114" s="13" t="s">
        <v>82</v>
      </c>
      <c r="C114" s="36">
        <v>271202</v>
      </c>
      <c r="D114" s="37">
        <v>3</v>
      </c>
      <c r="E114" s="37">
        <v>3</v>
      </c>
      <c r="F114" s="44">
        <v>58.928571428571431</v>
      </c>
      <c r="G114" s="44">
        <v>56.1</v>
      </c>
      <c r="H114" s="38">
        <v>2.2527772399999999</v>
      </c>
      <c r="I114" s="31">
        <v>30.357142857142858</v>
      </c>
      <c r="J114" s="31" t="s">
        <v>7</v>
      </c>
      <c r="K114" s="39">
        <v>5.5</v>
      </c>
      <c r="L114" s="31" t="s">
        <v>6</v>
      </c>
      <c r="M114" s="31" t="s">
        <v>9</v>
      </c>
      <c r="N114" s="32" t="s">
        <v>6</v>
      </c>
      <c r="O114" s="33">
        <v>0</v>
      </c>
      <c r="P114" s="31"/>
    </row>
    <row r="115" spans="1:17" s="24" customFormat="1" ht="13.25" customHeight="1" x14ac:dyDescent="0.15">
      <c r="B115" s="13" t="s">
        <v>30</v>
      </c>
      <c r="C115" s="36">
        <v>271207</v>
      </c>
      <c r="D115" s="37">
        <v>4</v>
      </c>
      <c r="E115" s="37">
        <v>12</v>
      </c>
      <c r="F115" s="44">
        <v>48.571428571428598</v>
      </c>
      <c r="G115" s="44">
        <v>30.7</v>
      </c>
      <c r="H115" s="38">
        <v>3.54</v>
      </c>
      <c r="I115" s="31">
        <v>37.142857142857103</v>
      </c>
      <c r="J115" s="31">
        <v>20.9</v>
      </c>
      <c r="K115" s="39">
        <v>3.5</v>
      </c>
      <c r="L115" s="31" t="s">
        <v>6</v>
      </c>
      <c r="M115" s="31" t="s">
        <v>9</v>
      </c>
      <c r="N115" s="32" t="s">
        <v>6</v>
      </c>
      <c r="O115" s="33">
        <v>0</v>
      </c>
      <c r="P115" s="31"/>
      <c r="Q115" s="24" t="s">
        <v>260</v>
      </c>
    </row>
    <row r="116" spans="1:17" s="24" customFormat="1" ht="13.25" customHeight="1" x14ac:dyDescent="0.15">
      <c r="B116" s="13" t="s">
        <v>82</v>
      </c>
      <c r="C116" s="36">
        <v>40313</v>
      </c>
      <c r="D116" s="37">
        <v>5</v>
      </c>
      <c r="E116" s="37">
        <v>8</v>
      </c>
      <c r="F116" s="44">
        <v>47.9</v>
      </c>
      <c r="G116" s="44">
        <v>24.96</v>
      </c>
      <c r="H116" s="38">
        <v>2.5169999999999999</v>
      </c>
      <c r="I116" s="31">
        <v>40.4</v>
      </c>
      <c r="J116" s="31">
        <v>21.39</v>
      </c>
      <c r="K116" s="39">
        <v>4</v>
      </c>
      <c r="L116" s="31" t="s">
        <v>6</v>
      </c>
      <c r="M116" s="31" t="s">
        <v>9</v>
      </c>
      <c r="N116" s="32" t="s">
        <v>6</v>
      </c>
      <c r="O116" s="33">
        <v>0</v>
      </c>
      <c r="P116" s="31"/>
      <c r="Q116" s="24" t="s">
        <v>214</v>
      </c>
    </row>
    <row r="117" spans="1:17" s="24" customFormat="1" ht="13.25" customHeight="1" x14ac:dyDescent="0.15">
      <c r="A117" s="24">
        <v>24</v>
      </c>
      <c r="B117" s="13" t="s">
        <v>83</v>
      </c>
      <c r="C117" s="36">
        <v>280393</v>
      </c>
      <c r="D117" s="37">
        <v>1</v>
      </c>
      <c r="E117" s="37">
        <v>1</v>
      </c>
      <c r="F117" s="40">
        <v>100</v>
      </c>
      <c r="G117" s="25">
        <v>74.8</v>
      </c>
      <c r="H117" s="38">
        <v>1</v>
      </c>
      <c r="I117" s="31">
        <v>0</v>
      </c>
      <c r="J117" s="31">
        <v>22.66</v>
      </c>
      <c r="K117" s="39">
        <v>3.5</v>
      </c>
      <c r="L117" s="31" t="s">
        <v>6</v>
      </c>
      <c r="M117" s="31" t="s">
        <v>6</v>
      </c>
      <c r="N117" s="32" t="s">
        <v>7</v>
      </c>
      <c r="O117" s="33">
        <v>1</v>
      </c>
      <c r="P117" s="31"/>
    </row>
    <row r="118" spans="1:17" s="24" customFormat="1" ht="13.25" customHeight="1" x14ac:dyDescent="0.15">
      <c r="B118" s="13" t="s">
        <v>83</v>
      </c>
      <c r="C118" s="36">
        <v>230598</v>
      </c>
      <c r="D118" s="37">
        <v>2</v>
      </c>
      <c r="E118" s="37">
        <v>2</v>
      </c>
      <c r="F118" s="44">
        <v>97.5</v>
      </c>
      <c r="G118" s="44">
        <v>60.7</v>
      </c>
      <c r="H118" s="38">
        <v>1.052</v>
      </c>
      <c r="I118" s="31">
        <v>1.25</v>
      </c>
      <c r="J118" s="31">
        <v>24.5</v>
      </c>
      <c r="K118" s="39">
        <v>4</v>
      </c>
      <c r="L118" s="31" t="s">
        <v>6</v>
      </c>
      <c r="M118" s="31" t="s">
        <v>9</v>
      </c>
      <c r="N118" s="32" t="s">
        <v>7</v>
      </c>
      <c r="O118" s="33">
        <v>1</v>
      </c>
      <c r="P118" s="31"/>
    </row>
    <row r="119" spans="1:17" s="24" customFormat="1" ht="13.25" customHeight="1" x14ac:dyDescent="0.15">
      <c r="B119" s="13" t="s">
        <v>83</v>
      </c>
      <c r="C119" s="36">
        <v>250502</v>
      </c>
      <c r="D119" s="37">
        <v>3</v>
      </c>
      <c r="E119" s="37">
        <v>10</v>
      </c>
      <c r="F119" s="44">
        <v>64.166700000000006</v>
      </c>
      <c r="G119" s="44">
        <v>54.9</v>
      </c>
      <c r="H119" s="38">
        <v>2.2311744999999998</v>
      </c>
      <c r="I119" s="31">
        <v>17.5</v>
      </c>
      <c r="J119" s="31">
        <v>22.41</v>
      </c>
      <c r="K119" s="39">
        <v>2.5</v>
      </c>
      <c r="L119" s="31" t="s">
        <v>6</v>
      </c>
      <c r="M119" s="31" t="s">
        <v>6</v>
      </c>
      <c r="N119" s="32" t="s">
        <v>7</v>
      </c>
      <c r="O119" s="33">
        <v>1</v>
      </c>
      <c r="P119" s="31"/>
    </row>
    <row r="120" spans="1:17" s="24" customFormat="1" ht="13.25" customHeight="1" x14ac:dyDescent="0.15">
      <c r="B120" s="13" t="s">
        <v>83</v>
      </c>
      <c r="C120" s="36">
        <v>170207</v>
      </c>
      <c r="D120" s="37">
        <v>4</v>
      </c>
      <c r="E120" s="37">
        <v>11</v>
      </c>
      <c r="F120" s="44">
        <f>61/1.2</f>
        <v>50.833333333333336</v>
      </c>
      <c r="G120" s="44">
        <v>52.61</v>
      </c>
      <c r="H120" s="38">
        <v>3.145</v>
      </c>
      <c r="I120" s="31">
        <v>17.5</v>
      </c>
      <c r="J120" s="31">
        <v>28.38</v>
      </c>
      <c r="K120" s="39">
        <v>2.5</v>
      </c>
      <c r="L120" s="31" t="s">
        <v>6</v>
      </c>
      <c r="M120" s="31" t="s">
        <v>6</v>
      </c>
      <c r="N120" s="32" t="s">
        <v>7</v>
      </c>
      <c r="O120" s="33">
        <v>1</v>
      </c>
      <c r="P120" s="31"/>
      <c r="Q120" s="24" t="s">
        <v>261</v>
      </c>
    </row>
    <row r="121" spans="1:17" s="24" customFormat="1" ht="13.25" customHeight="1" x14ac:dyDescent="0.15">
      <c r="B121" s="13" t="s">
        <v>83</v>
      </c>
      <c r="C121" s="36">
        <v>260512</v>
      </c>
      <c r="D121" s="37">
        <v>5</v>
      </c>
      <c r="E121" s="37">
        <v>12</v>
      </c>
      <c r="F121" s="44">
        <v>40</v>
      </c>
      <c r="G121" s="44">
        <v>39.58</v>
      </c>
      <c r="H121" s="38">
        <v>3.67</v>
      </c>
      <c r="I121" s="31">
        <v>25</v>
      </c>
      <c r="J121" s="31">
        <v>25.18</v>
      </c>
      <c r="K121" s="39">
        <v>3</v>
      </c>
      <c r="L121" s="31" t="s">
        <v>6</v>
      </c>
      <c r="M121" s="31" t="s">
        <v>6</v>
      </c>
      <c r="N121" s="32" t="s">
        <v>7</v>
      </c>
      <c r="O121" s="33">
        <v>1</v>
      </c>
      <c r="P121" s="31"/>
    </row>
    <row r="122" spans="1:17" s="24" customFormat="1" ht="13.25" customHeight="1" x14ac:dyDescent="0.15">
      <c r="B122" s="13" t="s">
        <v>83</v>
      </c>
      <c r="C122" s="36">
        <v>280215</v>
      </c>
      <c r="D122" s="37">
        <v>6</v>
      </c>
      <c r="E122" s="37">
        <v>10</v>
      </c>
      <c r="F122" s="44">
        <v>39.159999999999997</v>
      </c>
      <c r="G122" s="44">
        <v>38.700000000000003</v>
      </c>
      <c r="H122" s="38"/>
      <c r="I122" s="31">
        <v>39.299999999999997</v>
      </c>
      <c r="J122" s="31">
        <v>38.119999999999997</v>
      </c>
      <c r="K122" s="39">
        <v>2.5</v>
      </c>
      <c r="L122" s="31" t="s">
        <v>278</v>
      </c>
      <c r="M122" s="31" t="s">
        <v>6</v>
      </c>
      <c r="N122" s="32" t="s">
        <v>7</v>
      </c>
      <c r="O122" s="33">
        <v>1</v>
      </c>
      <c r="P122" s="31"/>
      <c r="Q122" s="24" t="s">
        <v>293</v>
      </c>
    </row>
    <row r="123" spans="1:17" s="24" customFormat="1" ht="13.25" customHeight="1" x14ac:dyDescent="0.15">
      <c r="A123" s="24">
        <v>25</v>
      </c>
      <c r="B123" s="13" t="s">
        <v>193</v>
      </c>
      <c r="C123" s="36">
        <v>190797</v>
      </c>
      <c r="D123" s="37">
        <v>1</v>
      </c>
      <c r="E123" s="37">
        <v>3</v>
      </c>
      <c r="F123" s="40">
        <v>80.769230769230802</v>
      </c>
      <c r="G123" s="25">
        <v>75.33</v>
      </c>
      <c r="H123" s="38" t="s">
        <v>64</v>
      </c>
      <c r="I123" s="31">
        <v>11.538461538461499</v>
      </c>
      <c r="J123" s="31">
        <v>9.58</v>
      </c>
      <c r="K123" s="39">
        <v>4.5</v>
      </c>
      <c r="L123" s="31" t="s">
        <v>6</v>
      </c>
      <c r="M123" s="31" t="s">
        <v>6</v>
      </c>
      <c r="N123" s="32" t="s">
        <v>6</v>
      </c>
      <c r="O123" s="33">
        <v>1</v>
      </c>
      <c r="P123" s="31"/>
    </row>
    <row r="124" spans="1:17" s="24" customFormat="1" ht="13.25" customHeight="1" x14ac:dyDescent="0.15">
      <c r="B124" s="13" t="s">
        <v>194</v>
      </c>
      <c r="C124" s="36">
        <v>190797</v>
      </c>
      <c r="D124" s="37">
        <v>1</v>
      </c>
      <c r="E124" s="37">
        <v>6</v>
      </c>
      <c r="F124" s="25">
        <v>76.5625</v>
      </c>
      <c r="G124" s="25">
        <v>75.33</v>
      </c>
      <c r="H124" s="38">
        <v>1.6579999999999999</v>
      </c>
      <c r="I124" s="31">
        <v>10.9375</v>
      </c>
      <c r="J124" s="31">
        <v>9.58</v>
      </c>
      <c r="K124" s="39">
        <v>4.5</v>
      </c>
      <c r="L124" s="31" t="s">
        <v>6</v>
      </c>
      <c r="M124" s="31" t="s">
        <v>6</v>
      </c>
      <c r="N124" s="32" t="s">
        <v>6</v>
      </c>
      <c r="O124" s="33">
        <v>1</v>
      </c>
      <c r="P124" s="31"/>
    </row>
    <row r="125" spans="1:17" s="24" customFormat="1" ht="13.25" customHeight="1" x14ac:dyDescent="0.15">
      <c r="B125" s="13" t="s">
        <v>193</v>
      </c>
      <c r="C125" s="36">
        <v>111005</v>
      </c>
      <c r="D125" s="37">
        <v>2</v>
      </c>
      <c r="E125" s="37">
        <v>10</v>
      </c>
      <c r="F125" s="25">
        <v>10</v>
      </c>
      <c r="G125" s="25">
        <v>14.94</v>
      </c>
      <c r="H125" s="38" t="s">
        <v>64</v>
      </c>
      <c r="I125" s="31">
        <v>10</v>
      </c>
      <c r="J125" s="31">
        <v>12.6</v>
      </c>
      <c r="K125" s="39">
        <v>4</v>
      </c>
      <c r="L125" s="31" t="s">
        <v>9</v>
      </c>
      <c r="M125" s="31" t="s">
        <v>9</v>
      </c>
      <c r="N125" s="32" t="s">
        <v>6</v>
      </c>
      <c r="O125" s="33">
        <v>1</v>
      </c>
      <c r="P125" s="31"/>
    </row>
    <row r="126" spans="1:17" s="24" customFormat="1" ht="13.25" customHeight="1" x14ac:dyDescent="0.15">
      <c r="B126" s="13" t="s">
        <v>194</v>
      </c>
      <c r="C126" s="36">
        <v>111005</v>
      </c>
      <c r="D126" s="37">
        <v>2</v>
      </c>
      <c r="E126" s="37">
        <v>11</v>
      </c>
      <c r="F126" s="25">
        <v>19.148936170212767</v>
      </c>
      <c r="G126" s="25">
        <v>16.87</v>
      </c>
      <c r="H126" s="38">
        <v>9.0719999999999992</v>
      </c>
      <c r="I126" s="31">
        <v>15.957446808510639</v>
      </c>
      <c r="J126" s="31">
        <v>14.74</v>
      </c>
      <c r="K126" s="39">
        <v>4</v>
      </c>
      <c r="L126" s="31" t="s">
        <v>9</v>
      </c>
      <c r="M126" s="31" t="s">
        <v>9</v>
      </c>
      <c r="N126" s="32" t="s">
        <v>6</v>
      </c>
      <c r="O126" s="33">
        <v>1</v>
      </c>
      <c r="P126" s="31" t="s">
        <v>314</v>
      </c>
    </row>
    <row r="127" spans="1:17" s="24" customFormat="1" ht="13.25" customHeight="1" x14ac:dyDescent="0.15">
      <c r="B127" s="13" t="s">
        <v>197</v>
      </c>
      <c r="C127" s="36">
        <v>81111</v>
      </c>
      <c r="D127" s="37">
        <v>3</v>
      </c>
      <c r="E127" s="37">
        <v>7</v>
      </c>
      <c r="F127" s="25">
        <v>33.299999999999997</v>
      </c>
      <c r="G127" s="25">
        <v>12.85</v>
      </c>
      <c r="H127" s="38" t="s">
        <v>64</v>
      </c>
      <c r="I127" s="31">
        <v>20</v>
      </c>
      <c r="J127" s="31">
        <v>5.84</v>
      </c>
      <c r="K127" s="39">
        <v>3.5</v>
      </c>
      <c r="L127" s="31" t="s">
        <v>6</v>
      </c>
      <c r="M127" s="31" t="s">
        <v>6</v>
      </c>
      <c r="N127" s="32" t="s">
        <v>6</v>
      </c>
      <c r="O127" s="33">
        <v>1</v>
      </c>
      <c r="P127" s="31"/>
      <c r="Q127" s="24" t="s">
        <v>262</v>
      </c>
    </row>
    <row r="128" spans="1:17" s="24" customFormat="1" ht="13.25" customHeight="1" x14ac:dyDescent="0.15">
      <c r="B128" s="13" t="s">
        <v>194</v>
      </c>
      <c r="C128" s="36">
        <v>81111</v>
      </c>
      <c r="D128" s="37">
        <v>3</v>
      </c>
      <c r="E128" s="37">
        <v>11</v>
      </c>
      <c r="F128" s="25">
        <v>32.9</v>
      </c>
      <c r="G128" s="25">
        <v>17.760000000000002</v>
      </c>
      <c r="H128" s="38">
        <v>6.4050000000000002</v>
      </c>
      <c r="I128" s="31">
        <v>15.1</v>
      </c>
      <c r="J128" s="31">
        <v>12.8</v>
      </c>
      <c r="K128" s="39">
        <v>3.5</v>
      </c>
      <c r="L128" s="31" t="s">
        <v>6</v>
      </c>
      <c r="M128" s="31" t="s">
        <v>6</v>
      </c>
      <c r="N128" s="32" t="s">
        <v>6</v>
      </c>
      <c r="O128" s="33">
        <v>1</v>
      </c>
      <c r="P128" s="31"/>
    </row>
    <row r="129" spans="1:17" s="24" customFormat="1" ht="13.25" customHeight="1" x14ac:dyDescent="0.15">
      <c r="B129" s="13" t="s">
        <v>193</v>
      </c>
      <c r="C129" s="36">
        <v>201214</v>
      </c>
      <c r="D129" s="37">
        <v>4</v>
      </c>
      <c r="E129" s="37">
        <v>7</v>
      </c>
      <c r="F129" s="25">
        <v>26.6</v>
      </c>
      <c r="G129" s="25" t="s">
        <v>7</v>
      </c>
      <c r="H129" s="38"/>
      <c r="I129" s="31">
        <v>20</v>
      </c>
      <c r="J129" s="31" t="s">
        <v>7</v>
      </c>
      <c r="K129" s="39">
        <v>3.5</v>
      </c>
      <c r="L129" s="31" t="s">
        <v>6</v>
      </c>
      <c r="M129" s="31" t="s">
        <v>9</v>
      </c>
      <c r="N129" s="32" t="s">
        <v>9</v>
      </c>
      <c r="O129" s="33">
        <v>1</v>
      </c>
      <c r="P129" s="31"/>
      <c r="Q129" s="24" t="s">
        <v>294</v>
      </c>
    </row>
    <row r="130" spans="1:17" s="24" customFormat="1" ht="13.25" customHeight="1" x14ac:dyDescent="0.15">
      <c r="A130" s="24">
        <v>26</v>
      </c>
      <c r="B130" s="13" t="s">
        <v>84</v>
      </c>
      <c r="C130" s="36">
        <v>20693</v>
      </c>
      <c r="D130" s="37">
        <v>1</v>
      </c>
      <c r="E130" s="37">
        <v>23</v>
      </c>
      <c r="F130" s="40">
        <v>34.1</v>
      </c>
      <c r="G130" s="25" t="s">
        <v>64</v>
      </c>
      <c r="H130" s="38">
        <v>6.5259999999999998</v>
      </c>
      <c r="I130" s="31">
        <v>10.869565217391305</v>
      </c>
      <c r="J130" s="31" t="s">
        <v>7</v>
      </c>
      <c r="K130" s="39">
        <v>3</v>
      </c>
      <c r="L130" s="31" t="s">
        <v>6</v>
      </c>
      <c r="M130" s="31" t="s">
        <v>7</v>
      </c>
      <c r="N130" s="32" t="s">
        <v>6</v>
      </c>
      <c r="O130" s="33">
        <v>1</v>
      </c>
      <c r="P130" s="31"/>
    </row>
    <row r="131" spans="1:17" s="24" customFormat="1" ht="13.25" customHeight="1" x14ac:dyDescent="0.15">
      <c r="B131" s="13" t="s">
        <v>84</v>
      </c>
      <c r="C131" s="36">
        <v>170598</v>
      </c>
      <c r="D131" s="37">
        <v>2</v>
      </c>
      <c r="E131" s="37">
        <v>9</v>
      </c>
      <c r="F131" s="44">
        <v>42</v>
      </c>
      <c r="G131" s="44">
        <v>24.74</v>
      </c>
      <c r="H131" s="38">
        <v>4.8769999999999998</v>
      </c>
      <c r="I131" s="31">
        <v>10.666666666666666</v>
      </c>
      <c r="J131" s="31">
        <v>13.32</v>
      </c>
      <c r="K131" s="39">
        <v>3</v>
      </c>
      <c r="L131" s="31" t="s">
        <v>6</v>
      </c>
      <c r="M131" s="31" t="s">
        <v>9</v>
      </c>
      <c r="N131" s="32" t="s">
        <v>9</v>
      </c>
      <c r="O131" s="33">
        <v>1</v>
      </c>
      <c r="P131" s="31"/>
    </row>
    <row r="132" spans="1:17" s="24" customFormat="1" ht="13.25" customHeight="1" x14ac:dyDescent="0.15">
      <c r="B132" s="13" t="s">
        <v>215</v>
      </c>
      <c r="C132" s="36">
        <v>151202</v>
      </c>
      <c r="D132" s="37">
        <v>3</v>
      </c>
      <c r="E132" s="37">
        <v>7</v>
      </c>
      <c r="F132" s="44">
        <v>64.375</v>
      </c>
      <c r="G132" s="44">
        <v>34.299999999999997</v>
      </c>
      <c r="H132" s="38">
        <v>2.20234</v>
      </c>
      <c r="I132" s="31">
        <v>13.75</v>
      </c>
      <c r="J132" s="31" t="s">
        <v>7</v>
      </c>
      <c r="K132" s="39">
        <v>3.5</v>
      </c>
      <c r="L132" s="31" t="s">
        <v>6</v>
      </c>
      <c r="M132" s="31" t="s">
        <v>9</v>
      </c>
      <c r="N132" s="32" t="s">
        <v>6</v>
      </c>
      <c r="O132" s="33">
        <v>1</v>
      </c>
      <c r="P132" s="31"/>
    </row>
    <row r="133" spans="1:17" s="24" customFormat="1" ht="13.25" customHeight="1" x14ac:dyDescent="0.15">
      <c r="B133" s="13" t="s">
        <v>215</v>
      </c>
      <c r="C133" s="36">
        <v>230907</v>
      </c>
      <c r="D133" s="37">
        <v>4</v>
      </c>
      <c r="E133" s="37">
        <v>11</v>
      </c>
      <c r="F133" s="44">
        <v>82.677165354330697</v>
      </c>
      <c r="G133" s="44" t="s">
        <v>7</v>
      </c>
      <c r="H133" s="38">
        <v>1.4610000000000001</v>
      </c>
      <c r="I133" s="31">
        <v>1.9</v>
      </c>
      <c r="J133" s="31" t="s">
        <v>7</v>
      </c>
      <c r="K133" s="39">
        <v>3.5</v>
      </c>
      <c r="L133" s="31" t="s">
        <v>6</v>
      </c>
      <c r="M133" s="31" t="s">
        <v>6</v>
      </c>
      <c r="N133" s="32" t="s">
        <v>9</v>
      </c>
      <c r="O133" s="33">
        <v>1</v>
      </c>
      <c r="P133" s="31"/>
      <c r="Q133" s="24" t="s">
        <v>263</v>
      </c>
    </row>
    <row r="134" spans="1:17" s="24" customFormat="1" ht="13.25" customHeight="1" x14ac:dyDescent="0.15">
      <c r="B134" s="13" t="s">
        <v>215</v>
      </c>
      <c r="C134" s="36">
        <v>201213</v>
      </c>
      <c r="D134" s="37">
        <v>5</v>
      </c>
      <c r="E134" s="37">
        <v>31</v>
      </c>
      <c r="F134" s="44">
        <v>32.5</v>
      </c>
      <c r="G134" s="40">
        <v>50.58</v>
      </c>
      <c r="H134" s="38">
        <v>7.4560000000000004</v>
      </c>
      <c r="I134" s="31">
        <v>13.2</v>
      </c>
      <c r="J134" s="31">
        <v>17.29</v>
      </c>
      <c r="K134" s="39">
        <v>4.5</v>
      </c>
      <c r="L134" s="31" t="s">
        <v>6</v>
      </c>
      <c r="M134" s="31" t="s">
        <v>9</v>
      </c>
      <c r="N134" s="32" t="s">
        <v>6</v>
      </c>
      <c r="O134" s="33">
        <v>1</v>
      </c>
      <c r="P134" s="31"/>
    </row>
    <row r="135" spans="1:17" s="24" customFormat="1" ht="13.25" customHeight="1" x14ac:dyDescent="0.15">
      <c r="A135" s="24">
        <v>27</v>
      </c>
      <c r="B135" s="13" t="s">
        <v>85</v>
      </c>
      <c r="C135" s="36">
        <v>170594</v>
      </c>
      <c r="D135" s="37">
        <v>1</v>
      </c>
      <c r="E135" s="37">
        <v>3</v>
      </c>
      <c r="F135" s="40">
        <v>48</v>
      </c>
      <c r="G135" s="25">
        <v>46.4</v>
      </c>
      <c r="H135" s="38">
        <v>2.6920000000000002</v>
      </c>
      <c r="I135" s="31">
        <v>31.073446327683616</v>
      </c>
      <c r="J135" s="31"/>
      <c r="K135" s="39">
        <v>2.5</v>
      </c>
      <c r="L135" s="31" t="s">
        <v>6</v>
      </c>
      <c r="M135" s="31" t="s">
        <v>9</v>
      </c>
      <c r="N135" s="32" t="s">
        <v>6</v>
      </c>
      <c r="O135" s="33">
        <v>0</v>
      </c>
      <c r="P135" s="31"/>
    </row>
    <row r="136" spans="1:17" s="24" customFormat="1" ht="13.25" customHeight="1" x14ac:dyDescent="0.15">
      <c r="B136" s="13" t="s">
        <v>100</v>
      </c>
      <c r="C136" s="36">
        <v>150699</v>
      </c>
      <c r="D136" s="37">
        <v>2</v>
      </c>
      <c r="E136" s="37">
        <v>4</v>
      </c>
      <c r="F136" s="40">
        <v>51</v>
      </c>
      <c r="G136" s="40">
        <v>47.3</v>
      </c>
      <c r="H136" s="38">
        <v>2.68</v>
      </c>
      <c r="I136" s="31">
        <v>34.375</v>
      </c>
      <c r="J136" s="31">
        <v>33.799999999999997</v>
      </c>
      <c r="K136" s="39">
        <v>3</v>
      </c>
      <c r="L136" s="31" t="s">
        <v>6</v>
      </c>
      <c r="M136" s="31" t="s">
        <v>6</v>
      </c>
      <c r="N136" s="32" t="s">
        <v>6</v>
      </c>
      <c r="O136" s="33">
        <v>0</v>
      </c>
      <c r="P136" s="31"/>
    </row>
    <row r="137" spans="1:17" s="24" customFormat="1" ht="13.25" customHeight="1" x14ac:dyDescent="0.15">
      <c r="B137" s="13" t="s">
        <v>85</v>
      </c>
      <c r="C137" s="36">
        <v>200504</v>
      </c>
      <c r="D137" s="37">
        <v>3</v>
      </c>
      <c r="E137" s="37">
        <v>9</v>
      </c>
      <c r="F137" s="40">
        <v>46.391752577319586</v>
      </c>
      <c r="G137" s="40">
        <v>25.62</v>
      </c>
      <c r="H137" s="38">
        <v>3.3220000000000001</v>
      </c>
      <c r="I137" s="31">
        <v>25.257731958762886</v>
      </c>
      <c r="J137" s="31">
        <v>24.6</v>
      </c>
      <c r="K137" s="39">
        <v>4</v>
      </c>
      <c r="L137" s="31" t="s">
        <v>9</v>
      </c>
      <c r="M137" s="31" t="s">
        <v>9</v>
      </c>
      <c r="N137" s="32" t="s">
        <v>6</v>
      </c>
      <c r="O137" s="33">
        <v>0</v>
      </c>
      <c r="P137" s="31" t="s">
        <v>315</v>
      </c>
    </row>
    <row r="138" spans="1:17" s="24" customFormat="1" ht="13.25" customHeight="1" x14ac:dyDescent="0.15">
      <c r="B138" s="13" t="s">
        <v>31</v>
      </c>
      <c r="C138" s="36">
        <v>190509</v>
      </c>
      <c r="D138" s="37">
        <v>4</v>
      </c>
      <c r="E138" s="37">
        <v>6</v>
      </c>
      <c r="F138" s="40">
        <v>59.1</v>
      </c>
      <c r="G138" s="40" t="s">
        <v>7</v>
      </c>
      <c r="H138" s="38">
        <v>2.7010000000000001</v>
      </c>
      <c r="I138" s="31">
        <v>13.5</v>
      </c>
      <c r="J138" s="31" t="s">
        <v>7</v>
      </c>
      <c r="K138" s="39">
        <v>4</v>
      </c>
      <c r="L138" s="31" t="s">
        <v>6</v>
      </c>
      <c r="M138" s="31" t="s">
        <v>9</v>
      </c>
      <c r="N138" s="32" t="s">
        <v>6</v>
      </c>
      <c r="O138" s="33">
        <v>0</v>
      </c>
      <c r="P138" s="31"/>
    </row>
    <row r="139" spans="1:17" s="24" customFormat="1" ht="13.25" customHeight="1" x14ac:dyDescent="0.15">
      <c r="B139" s="13" t="s">
        <v>85</v>
      </c>
      <c r="C139" s="36">
        <v>200514</v>
      </c>
      <c r="D139" s="37">
        <v>5</v>
      </c>
      <c r="E139" s="37">
        <v>6</v>
      </c>
      <c r="F139" s="40">
        <v>26.4</v>
      </c>
      <c r="G139" s="40">
        <v>21.98</v>
      </c>
      <c r="H139" s="38">
        <v>6.4459999999999997</v>
      </c>
      <c r="I139" s="31">
        <v>24.87</v>
      </c>
      <c r="J139" s="31">
        <v>17.37</v>
      </c>
      <c r="K139" s="39">
        <v>3.5</v>
      </c>
      <c r="L139" s="31" t="s">
        <v>6</v>
      </c>
      <c r="M139" s="31" t="s">
        <v>6</v>
      </c>
      <c r="N139" s="32" t="s">
        <v>6</v>
      </c>
      <c r="O139" s="33">
        <v>0</v>
      </c>
      <c r="P139" s="31"/>
      <c r="Q139" s="24" t="s">
        <v>216</v>
      </c>
    </row>
    <row r="140" spans="1:17" s="24" customFormat="1" ht="13.25" customHeight="1" x14ac:dyDescent="0.15">
      <c r="A140" s="24">
        <v>28</v>
      </c>
      <c r="B140" s="13" t="s">
        <v>86</v>
      </c>
      <c r="C140" s="36">
        <v>80392</v>
      </c>
      <c r="D140" s="37">
        <v>1</v>
      </c>
      <c r="E140" s="37">
        <v>10</v>
      </c>
      <c r="F140" s="40">
        <v>65.5</v>
      </c>
      <c r="G140" s="25">
        <v>48.4</v>
      </c>
      <c r="H140" s="38">
        <v>2.2400000000000002</v>
      </c>
      <c r="I140" s="31">
        <v>7.7586206896551726</v>
      </c>
      <c r="J140" s="31" t="s">
        <v>7</v>
      </c>
      <c r="K140" s="39">
        <v>2.5</v>
      </c>
      <c r="L140" s="31" t="s">
        <v>6</v>
      </c>
      <c r="M140" s="31" t="s">
        <v>6</v>
      </c>
      <c r="N140" s="32" t="s">
        <v>6</v>
      </c>
      <c r="O140" s="33">
        <v>0</v>
      </c>
      <c r="P140" s="31"/>
    </row>
    <row r="141" spans="1:17" s="24" customFormat="1" ht="13.25" customHeight="1" x14ac:dyDescent="0.15">
      <c r="B141" s="13" t="s">
        <v>86</v>
      </c>
      <c r="C141" s="36">
        <v>300497</v>
      </c>
      <c r="D141" s="37">
        <v>2</v>
      </c>
      <c r="E141" s="37">
        <v>8</v>
      </c>
      <c r="F141" s="44">
        <v>87.1</v>
      </c>
      <c r="G141" s="44">
        <v>75.3</v>
      </c>
      <c r="H141" s="38">
        <v>1.3109999999999999</v>
      </c>
      <c r="I141" s="31">
        <v>5.4421768707482991</v>
      </c>
      <c r="J141" s="31" t="s">
        <v>7</v>
      </c>
      <c r="K141" s="39">
        <v>3</v>
      </c>
      <c r="L141" s="31" t="s">
        <v>6</v>
      </c>
      <c r="M141" s="31" t="s">
        <v>6</v>
      </c>
      <c r="N141" s="32" t="s">
        <v>6</v>
      </c>
      <c r="O141" s="33">
        <v>0</v>
      </c>
      <c r="P141" s="31"/>
      <c r="Q141" s="24" t="s">
        <v>302</v>
      </c>
    </row>
    <row r="142" spans="1:17" s="24" customFormat="1" ht="13.25" customHeight="1" x14ac:dyDescent="0.15">
      <c r="B142" s="13" t="s">
        <v>86</v>
      </c>
      <c r="C142" s="36">
        <v>280702</v>
      </c>
      <c r="D142" s="37">
        <v>3</v>
      </c>
      <c r="E142" s="37">
        <v>4</v>
      </c>
      <c r="F142" s="44">
        <f>66/1.47</f>
        <v>44.897959183673471</v>
      </c>
      <c r="G142" s="44" t="s">
        <v>7</v>
      </c>
      <c r="H142" s="38">
        <v>2.71</v>
      </c>
      <c r="I142" s="31">
        <v>40.136054421768705</v>
      </c>
      <c r="J142" s="44" t="s">
        <v>7</v>
      </c>
      <c r="K142" s="39">
        <v>2.5</v>
      </c>
      <c r="L142" s="31" t="s">
        <v>9</v>
      </c>
      <c r="M142" s="31" t="s">
        <v>9</v>
      </c>
      <c r="N142" s="32" t="s">
        <v>6</v>
      </c>
      <c r="O142" s="33">
        <v>0</v>
      </c>
      <c r="P142" s="31"/>
    </row>
    <row r="143" spans="1:17" s="24" customFormat="1" ht="13.25" customHeight="1" x14ac:dyDescent="0.15">
      <c r="B143" s="13" t="s">
        <v>86</v>
      </c>
      <c r="C143" s="36">
        <v>10707</v>
      </c>
      <c r="D143" s="37">
        <v>4</v>
      </c>
      <c r="E143" s="37">
        <v>3</v>
      </c>
      <c r="F143" s="44">
        <v>76.900000000000006</v>
      </c>
      <c r="G143" s="44" t="s">
        <v>7</v>
      </c>
      <c r="H143" s="38">
        <v>1.661</v>
      </c>
      <c r="I143" s="31">
        <v>10.199999999999999</v>
      </c>
      <c r="J143" s="44" t="s">
        <v>7</v>
      </c>
      <c r="K143" s="39">
        <v>2</v>
      </c>
      <c r="L143" s="31" t="s">
        <v>6</v>
      </c>
      <c r="M143" s="31" t="s">
        <v>9</v>
      </c>
      <c r="N143" s="32" t="s">
        <v>6</v>
      </c>
      <c r="O143" s="33">
        <v>0</v>
      </c>
      <c r="P143" s="31"/>
      <c r="Q143" s="24" t="s">
        <v>217</v>
      </c>
    </row>
    <row r="144" spans="1:17" s="24" customFormat="1" ht="13.25" customHeight="1" x14ac:dyDescent="0.15">
      <c r="B144" s="13" t="s">
        <v>86</v>
      </c>
      <c r="C144" s="36">
        <v>241113</v>
      </c>
      <c r="D144" s="37">
        <v>5</v>
      </c>
      <c r="E144" s="37">
        <v>19</v>
      </c>
      <c r="F144" s="44">
        <v>44.9</v>
      </c>
      <c r="G144" s="44">
        <v>29.4</v>
      </c>
      <c r="H144" s="38">
        <v>4.2709999999999999</v>
      </c>
      <c r="I144" s="31">
        <v>11.6</v>
      </c>
      <c r="J144" s="31">
        <v>22.6</v>
      </c>
      <c r="K144" s="39">
        <v>3</v>
      </c>
      <c r="L144" s="31" t="s">
        <v>6</v>
      </c>
      <c r="M144" s="31" t="s">
        <v>9</v>
      </c>
      <c r="N144" s="32" t="s">
        <v>6</v>
      </c>
      <c r="O144" s="33">
        <v>0</v>
      </c>
      <c r="P144" s="31"/>
      <c r="Q144" s="24" t="s">
        <v>301</v>
      </c>
    </row>
    <row r="145" spans="1:17" s="24" customFormat="1" ht="13.25" customHeight="1" x14ac:dyDescent="0.15">
      <c r="A145" s="24">
        <v>29</v>
      </c>
      <c r="B145" s="13" t="s">
        <v>189</v>
      </c>
      <c r="C145" s="36">
        <v>30392</v>
      </c>
      <c r="D145" s="37">
        <v>1</v>
      </c>
      <c r="E145" s="37">
        <v>3</v>
      </c>
      <c r="F145" s="40">
        <v>84.8</v>
      </c>
      <c r="G145" s="25">
        <v>67.7</v>
      </c>
      <c r="H145" s="38">
        <v>1.387</v>
      </c>
      <c r="I145" s="31">
        <v>1.2658227848101267</v>
      </c>
      <c r="J145" s="31" t="s">
        <v>7</v>
      </c>
      <c r="K145" s="39">
        <v>6.5</v>
      </c>
      <c r="L145" s="31" t="s">
        <v>6</v>
      </c>
      <c r="M145" s="31" t="s">
        <v>7</v>
      </c>
      <c r="N145" s="32" t="s">
        <v>6</v>
      </c>
      <c r="O145" s="33">
        <v>1</v>
      </c>
      <c r="P145" s="31" t="s">
        <v>316</v>
      </c>
    </row>
    <row r="146" spans="1:17" s="24" customFormat="1" ht="13.25" customHeight="1" x14ac:dyDescent="0.15">
      <c r="B146" s="13" t="s">
        <v>189</v>
      </c>
      <c r="C146" s="36">
        <v>111096</v>
      </c>
      <c r="D146" s="37">
        <v>2</v>
      </c>
      <c r="E146" s="37">
        <v>3</v>
      </c>
      <c r="F146" s="44">
        <v>88.6</v>
      </c>
      <c r="G146" s="44">
        <v>67.599999999999994</v>
      </c>
      <c r="H146" s="38">
        <v>1.2709999999999999</v>
      </c>
      <c r="I146" s="31">
        <v>1.2658227848101267</v>
      </c>
      <c r="J146" s="31" t="s">
        <v>7</v>
      </c>
      <c r="K146" s="39">
        <v>6</v>
      </c>
      <c r="L146" s="31" t="s">
        <v>6</v>
      </c>
      <c r="M146" s="31" t="s">
        <v>6</v>
      </c>
      <c r="N146" s="32" t="s">
        <v>9</v>
      </c>
      <c r="O146" s="33">
        <v>1</v>
      </c>
      <c r="P146" s="31"/>
    </row>
    <row r="147" spans="1:17" s="24" customFormat="1" ht="13.25" customHeight="1" x14ac:dyDescent="0.15">
      <c r="B147" s="13" t="s">
        <v>189</v>
      </c>
      <c r="C147" s="36">
        <v>261001</v>
      </c>
      <c r="D147" s="37">
        <v>3</v>
      </c>
      <c r="E147" s="37">
        <v>5</v>
      </c>
      <c r="F147" s="44">
        <v>79.010000000000005</v>
      </c>
      <c r="G147" s="44">
        <v>51</v>
      </c>
      <c r="H147" s="38">
        <v>1.5794414999999999</v>
      </c>
      <c r="I147" s="31">
        <v>4.9382716049382713</v>
      </c>
      <c r="J147" s="31" t="s">
        <v>7</v>
      </c>
      <c r="K147" s="39">
        <v>5</v>
      </c>
      <c r="L147" s="31" t="s">
        <v>6</v>
      </c>
      <c r="M147" s="31" t="s">
        <v>6</v>
      </c>
      <c r="N147" s="32" t="s">
        <v>9</v>
      </c>
      <c r="O147" s="33">
        <v>1</v>
      </c>
      <c r="P147" s="31"/>
    </row>
    <row r="148" spans="1:17" s="24" customFormat="1" ht="13.25" customHeight="1" x14ac:dyDescent="0.15">
      <c r="B148" s="13" t="s">
        <v>189</v>
      </c>
      <c r="C148" s="36">
        <v>191006</v>
      </c>
      <c r="D148" s="37">
        <v>4</v>
      </c>
      <c r="E148" s="37">
        <v>15</v>
      </c>
      <c r="F148" s="44">
        <f>15/0.95</f>
        <v>15.789473684210527</v>
      </c>
      <c r="G148" s="44" t="s">
        <v>7</v>
      </c>
      <c r="H148" s="38">
        <v>4.335</v>
      </c>
      <c r="I148" s="31">
        <v>8.4210526315789469</v>
      </c>
      <c r="J148" s="31" t="s">
        <v>7</v>
      </c>
      <c r="K148" s="39">
        <v>4.5</v>
      </c>
      <c r="L148" s="31" t="s">
        <v>9</v>
      </c>
      <c r="M148" s="31" t="s">
        <v>9</v>
      </c>
      <c r="N148" s="32" t="s">
        <v>9</v>
      </c>
      <c r="O148" s="33">
        <v>1</v>
      </c>
      <c r="P148" s="31" t="s">
        <v>317</v>
      </c>
    </row>
    <row r="149" spans="1:17" s="24" customFormat="1" ht="13.25" customHeight="1" x14ac:dyDescent="0.15">
      <c r="B149" s="14" t="s">
        <v>192</v>
      </c>
      <c r="C149" s="34">
        <v>210107</v>
      </c>
      <c r="E149" s="33">
        <v>11</v>
      </c>
      <c r="F149" s="24" t="s">
        <v>303</v>
      </c>
      <c r="G149" s="24" t="s">
        <v>304</v>
      </c>
      <c r="H149" s="35" t="s">
        <v>64</v>
      </c>
      <c r="I149" s="31">
        <v>9.43</v>
      </c>
      <c r="J149" s="31">
        <v>10.199999999999999</v>
      </c>
      <c r="K149" s="31">
        <v>5.5</v>
      </c>
      <c r="L149" s="31" t="s">
        <v>224</v>
      </c>
      <c r="M149" s="31" t="s">
        <v>7</v>
      </c>
      <c r="N149" s="32" t="s">
        <v>9</v>
      </c>
      <c r="O149" s="33">
        <v>1</v>
      </c>
      <c r="P149" s="31"/>
      <c r="Q149" s="24" t="s">
        <v>305</v>
      </c>
    </row>
    <row r="150" spans="1:17" s="24" customFormat="1" ht="13.25" customHeight="1" x14ac:dyDescent="0.15">
      <c r="A150" s="24" t="s">
        <v>279</v>
      </c>
      <c r="B150" s="14" t="s">
        <v>192</v>
      </c>
      <c r="C150" s="36">
        <v>81009</v>
      </c>
      <c r="D150" s="37"/>
      <c r="E150" s="37">
        <v>4</v>
      </c>
      <c r="F150" s="44">
        <f>13/0.56</f>
        <v>23.214285714285712</v>
      </c>
      <c r="G150" s="44"/>
      <c r="H150" s="38" t="s">
        <v>64</v>
      </c>
      <c r="I150" s="31">
        <f>2/0.56</f>
        <v>3.5714285714285712</v>
      </c>
      <c r="J150" s="31"/>
      <c r="K150" s="39">
        <v>5.5</v>
      </c>
      <c r="L150" s="31"/>
      <c r="M150" s="31"/>
      <c r="N150" s="49" t="s">
        <v>6</v>
      </c>
      <c r="O150" s="50">
        <v>1</v>
      </c>
      <c r="P150" s="47" t="s">
        <v>190</v>
      </c>
    </row>
    <row r="151" spans="1:17" s="24" customFormat="1" ht="13.25" customHeight="1" x14ac:dyDescent="0.15">
      <c r="B151" s="13" t="s">
        <v>218</v>
      </c>
      <c r="C151" s="36">
        <v>231113</v>
      </c>
      <c r="D151" s="37">
        <v>5</v>
      </c>
      <c r="E151" s="37">
        <v>16</v>
      </c>
      <c r="F151" s="44">
        <v>51.4</v>
      </c>
      <c r="G151" s="44">
        <v>55.1</v>
      </c>
      <c r="H151" s="38">
        <v>3.4510000000000001</v>
      </c>
      <c r="I151" s="31">
        <v>11</v>
      </c>
      <c r="J151" s="31">
        <v>13.74</v>
      </c>
      <c r="K151" s="39">
        <v>5.5</v>
      </c>
      <c r="L151" s="31" t="s">
        <v>6</v>
      </c>
      <c r="M151" s="31" t="s">
        <v>6</v>
      </c>
      <c r="N151" s="49" t="s">
        <v>9</v>
      </c>
      <c r="O151" s="50">
        <v>1</v>
      </c>
      <c r="P151" s="47"/>
    </row>
    <row r="152" spans="1:17" s="24" customFormat="1" ht="13.25" customHeight="1" x14ac:dyDescent="0.15">
      <c r="A152" s="24">
        <v>30</v>
      </c>
      <c r="B152" s="13" t="s">
        <v>87</v>
      </c>
      <c r="C152" s="36">
        <v>150991</v>
      </c>
      <c r="D152" s="37">
        <v>1</v>
      </c>
      <c r="E152" s="37">
        <v>5</v>
      </c>
      <c r="F152" s="40">
        <v>45.5</v>
      </c>
      <c r="G152" s="25">
        <v>55.4</v>
      </c>
      <c r="H152" s="38">
        <v>2.6059999999999999</v>
      </c>
      <c r="I152" s="31">
        <v>41.935483870967744</v>
      </c>
      <c r="J152" s="31" t="s">
        <v>7</v>
      </c>
      <c r="K152" s="39">
        <v>2</v>
      </c>
      <c r="L152" s="31" t="s">
        <v>6</v>
      </c>
      <c r="M152" s="31" t="s">
        <v>6</v>
      </c>
      <c r="N152" s="32" t="s">
        <v>7</v>
      </c>
      <c r="O152" s="33">
        <v>0</v>
      </c>
      <c r="P152" s="31"/>
    </row>
    <row r="153" spans="1:17" s="24" customFormat="1" ht="13.25" customHeight="1" x14ac:dyDescent="0.15">
      <c r="B153" s="13" t="s">
        <v>87</v>
      </c>
      <c r="C153" s="36">
        <v>201295</v>
      </c>
      <c r="D153" s="37">
        <v>2</v>
      </c>
      <c r="E153" s="37">
        <v>5</v>
      </c>
      <c r="F153" s="44">
        <v>56.451612903225808</v>
      </c>
      <c r="G153" s="44">
        <v>65.2</v>
      </c>
      <c r="H153" s="38">
        <v>2.343</v>
      </c>
      <c r="I153" s="31">
        <v>40.322580645161288</v>
      </c>
      <c r="J153" s="31" t="s">
        <v>7</v>
      </c>
      <c r="K153" s="39">
        <v>1.5</v>
      </c>
      <c r="L153" s="31" t="s">
        <v>6</v>
      </c>
      <c r="M153" s="31" t="s">
        <v>9</v>
      </c>
      <c r="N153" s="32" t="s">
        <v>7</v>
      </c>
      <c r="O153" s="33">
        <v>0</v>
      </c>
      <c r="P153" s="31"/>
    </row>
    <row r="154" spans="1:17" s="24" customFormat="1" ht="13.25" customHeight="1" x14ac:dyDescent="0.15">
      <c r="B154" s="13" t="s">
        <v>87</v>
      </c>
      <c r="C154" s="36">
        <v>110900</v>
      </c>
      <c r="D154" s="37">
        <v>3</v>
      </c>
      <c r="E154" s="37">
        <v>5</v>
      </c>
      <c r="F154" s="44">
        <v>77</v>
      </c>
      <c r="G154" s="44">
        <v>51.7</v>
      </c>
      <c r="H154" s="38">
        <v>2.597</v>
      </c>
      <c r="I154" s="31">
        <v>11.428571428571429</v>
      </c>
      <c r="J154" s="31" t="s">
        <v>7</v>
      </c>
      <c r="K154" s="39">
        <v>1.5</v>
      </c>
      <c r="L154" s="31" t="s">
        <v>9</v>
      </c>
      <c r="M154" s="31" t="s">
        <v>9</v>
      </c>
      <c r="N154" s="32" t="s">
        <v>7</v>
      </c>
      <c r="O154" s="33">
        <v>0</v>
      </c>
      <c r="P154" s="31"/>
    </row>
    <row r="155" spans="1:17" s="24" customFormat="1" ht="13.25" customHeight="1" x14ac:dyDescent="0.15">
      <c r="B155" s="13" t="s">
        <v>87</v>
      </c>
      <c r="C155" s="36">
        <v>30705</v>
      </c>
      <c r="D155" s="37">
        <v>4</v>
      </c>
      <c r="E155" s="37">
        <v>4</v>
      </c>
      <c r="F155" s="44">
        <v>60</v>
      </c>
      <c r="G155" s="44">
        <v>48.8</v>
      </c>
      <c r="H155" s="38">
        <v>2.0870000000000002</v>
      </c>
      <c r="I155" s="31">
        <v>34.285714285714285</v>
      </c>
      <c r="J155" s="31">
        <v>42.6</v>
      </c>
      <c r="K155" s="39">
        <v>1.5</v>
      </c>
      <c r="L155" s="31" t="s">
        <v>6</v>
      </c>
      <c r="M155" s="31" t="s">
        <v>9</v>
      </c>
      <c r="N155" s="32" t="s">
        <v>7</v>
      </c>
      <c r="O155" s="33">
        <v>0</v>
      </c>
      <c r="P155" s="31"/>
    </row>
    <row r="156" spans="1:17" s="24" customFormat="1" ht="13.25" customHeight="1" x14ac:dyDescent="0.15">
      <c r="B156" s="13" t="s">
        <v>32</v>
      </c>
      <c r="C156" s="36">
        <v>50510</v>
      </c>
      <c r="D156" s="37">
        <v>5</v>
      </c>
      <c r="E156" s="37">
        <v>5</v>
      </c>
      <c r="F156" s="44">
        <v>65.2</v>
      </c>
      <c r="G156" s="44">
        <v>49.7</v>
      </c>
      <c r="H156" s="38">
        <v>2</v>
      </c>
      <c r="I156" s="31">
        <v>29</v>
      </c>
      <c r="J156" s="31">
        <v>42</v>
      </c>
      <c r="K156" s="39">
        <v>1.5</v>
      </c>
      <c r="L156" s="31" t="s">
        <v>6</v>
      </c>
      <c r="M156" s="31" t="s">
        <v>6</v>
      </c>
      <c r="N156" s="32" t="s">
        <v>7</v>
      </c>
      <c r="O156" s="33">
        <v>0</v>
      </c>
      <c r="P156" s="31"/>
    </row>
    <row r="157" spans="1:17" s="24" customFormat="1" ht="13.25" customHeight="1" x14ac:dyDescent="0.15">
      <c r="B157" s="13" t="s">
        <v>87</v>
      </c>
      <c r="C157" s="36">
        <v>101214</v>
      </c>
      <c r="D157" s="37">
        <v>6</v>
      </c>
      <c r="E157" s="37">
        <v>3</v>
      </c>
      <c r="F157" s="44">
        <v>73.900000000000006</v>
      </c>
      <c r="G157" s="44">
        <v>49.8</v>
      </c>
      <c r="H157" s="38">
        <v>1.6639999999999999</v>
      </c>
      <c r="I157" s="31">
        <v>23.2</v>
      </c>
      <c r="J157" s="31">
        <v>38.5</v>
      </c>
      <c r="K157" s="39">
        <v>1.5</v>
      </c>
      <c r="L157" s="31" t="s">
        <v>9</v>
      </c>
      <c r="M157" s="31" t="s">
        <v>6</v>
      </c>
      <c r="N157" s="32" t="s">
        <v>7</v>
      </c>
      <c r="O157" s="33">
        <v>0</v>
      </c>
      <c r="P157" s="31"/>
    </row>
    <row r="158" spans="1:17" s="24" customFormat="1" ht="13.25" customHeight="1" x14ac:dyDescent="0.15">
      <c r="A158" s="24">
        <v>31</v>
      </c>
      <c r="B158" s="13" t="s">
        <v>101</v>
      </c>
      <c r="C158" s="36">
        <v>271094</v>
      </c>
      <c r="D158" s="37">
        <v>1</v>
      </c>
      <c r="E158" s="37">
        <v>3</v>
      </c>
      <c r="F158" s="40">
        <v>51.6</v>
      </c>
      <c r="G158" s="25">
        <v>44.3</v>
      </c>
      <c r="H158" s="38">
        <v>2.1360000000000001</v>
      </c>
      <c r="I158" s="31">
        <f>112/2.5</f>
        <v>44.8</v>
      </c>
      <c r="J158" s="31">
        <v>37.78</v>
      </c>
      <c r="K158" s="39">
        <v>4</v>
      </c>
      <c r="L158" s="31" t="s">
        <v>6</v>
      </c>
      <c r="M158" s="31" t="s">
        <v>6</v>
      </c>
      <c r="N158" s="32" t="s">
        <v>6</v>
      </c>
      <c r="O158" s="33">
        <v>0</v>
      </c>
      <c r="P158" s="31"/>
    </row>
    <row r="159" spans="1:17" s="24" customFormat="1" ht="13.25" customHeight="1" x14ac:dyDescent="0.15">
      <c r="B159" s="13" t="s">
        <v>101</v>
      </c>
      <c r="C159" s="36">
        <v>31299</v>
      </c>
      <c r="D159" s="37">
        <v>2</v>
      </c>
      <c r="E159" s="37">
        <v>2</v>
      </c>
      <c r="F159" s="40">
        <v>53.2</v>
      </c>
      <c r="G159" s="40">
        <v>48.54</v>
      </c>
      <c r="H159" s="38">
        <v>2</v>
      </c>
      <c r="I159" s="31">
        <v>46.8</v>
      </c>
      <c r="J159" s="31">
        <v>38.81</v>
      </c>
      <c r="K159" s="39">
        <v>3.5</v>
      </c>
      <c r="L159" s="31" t="s">
        <v>6</v>
      </c>
      <c r="M159" s="31" t="s">
        <v>6</v>
      </c>
      <c r="N159" s="32" t="s">
        <v>6</v>
      </c>
      <c r="O159" s="33">
        <v>0</v>
      </c>
      <c r="P159" s="31"/>
    </row>
    <row r="160" spans="1:17" s="24" customFormat="1" ht="13.25" customHeight="1" x14ac:dyDescent="0.15">
      <c r="B160" s="13" t="s">
        <v>101</v>
      </c>
      <c r="C160" s="36">
        <v>11204</v>
      </c>
      <c r="D160" s="37">
        <v>3</v>
      </c>
      <c r="E160" s="37">
        <v>2</v>
      </c>
      <c r="F160" s="40">
        <f>160/2.5</f>
        <v>64</v>
      </c>
      <c r="G160" s="40">
        <v>62.03</v>
      </c>
      <c r="H160" s="38">
        <v>1.855</v>
      </c>
      <c r="I160" s="31">
        <v>36</v>
      </c>
      <c r="J160" s="31">
        <v>29.73</v>
      </c>
      <c r="K160" s="39">
        <v>2.5</v>
      </c>
      <c r="L160" s="31" t="s">
        <v>6</v>
      </c>
      <c r="M160" s="31" t="s">
        <v>6</v>
      </c>
      <c r="N160" s="32" t="s">
        <v>6</v>
      </c>
      <c r="O160" s="33">
        <v>0</v>
      </c>
      <c r="P160" s="31"/>
    </row>
    <row r="161" spans="1:17" s="24" customFormat="1" ht="13.25" customHeight="1" x14ac:dyDescent="0.15">
      <c r="B161" s="13" t="s">
        <v>33</v>
      </c>
      <c r="C161" s="36">
        <v>281009</v>
      </c>
      <c r="D161" s="37">
        <v>4</v>
      </c>
      <c r="E161" s="37">
        <v>3</v>
      </c>
      <c r="F161" s="40">
        <v>76.400000000000006</v>
      </c>
      <c r="G161" s="40">
        <v>74.599999999999994</v>
      </c>
      <c r="H161" s="38">
        <v>1.6</v>
      </c>
      <c r="I161" s="31">
        <v>20.399999999999999</v>
      </c>
      <c r="J161" s="31">
        <v>17.600000000000001</v>
      </c>
      <c r="K161" s="39">
        <v>3</v>
      </c>
      <c r="L161" s="31" t="s">
        <v>6</v>
      </c>
      <c r="M161" s="31" t="s">
        <v>6</v>
      </c>
      <c r="N161" s="32" t="s">
        <v>6</v>
      </c>
      <c r="O161" s="33">
        <v>0</v>
      </c>
      <c r="P161" s="31"/>
    </row>
    <row r="162" spans="1:17" s="24" customFormat="1" ht="13.25" customHeight="1" x14ac:dyDescent="0.15">
      <c r="B162" s="13" t="s">
        <v>101</v>
      </c>
      <c r="C162" s="36">
        <v>151014</v>
      </c>
      <c r="D162" s="37">
        <v>5</v>
      </c>
      <c r="E162" s="37">
        <v>3</v>
      </c>
      <c r="F162" s="40">
        <v>57.6</v>
      </c>
      <c r="G162" s="40">
        <v>55.9</v>
      </c>
      <c r="H162" s="38">
        <v>2.1589999999999998</v>
      </c>
      <c r="I162" s="31">
        <v>35.6</v>
      </c>
      <c r="J162" s="31">
        <v>32.5</v>
      </c>
      <c r="K162" s="39">
        <v>3.5</v>
      </c>
      <c r="L162" s="31" t="s">
        <v>6</v>
      </c>
      <c r="M162" s="31" t="s">
        <v>6</v>
      </c>
      <c r="N162" s="32" t="s">
        <v>6</v>
      </c>
      <c r="O162" s="33">
        <v>0</v>
      </c>
      <c r="P162" s="31"/>
    </row>
    <row r="163" spans="1:17" s="24" customFormat="1" ht="13.25" customHeight="1" x14ac:dyDescent="0.15">
      <c r="A163" s="24">
        <v>32</v>
      </c>
      <c r="B163" s="13" t="s">
        <v>88</v>
      </c>
      <c r="C163" s="36">
        <v>110189</v>
      </c>
      <c r="D163" s="37">
        <v>1</v>
      </c>
      <c r="E163" s="37">
        <v>7</v>
      </c>
      <c r="F163" s="40">
        <v>56.9</v>
      </c>
      <c r="G163" s="25">
        <v>57.3</v>
      </c>
      <c r="H163" s="38">
        <v>2.4140000000000001</v>
      </c>
      <c r="I163" s="31">
        <v>29.166666666666668</v>
      </c>
      <c r="J163" s="31">
        <v>28.55</v>
      </c>
      <c r="K163" s="39">
        <v>3.5</v>
      </c>
      <c r="L163" s="31" t="s">
        <v>6</v>
      </c>
      <c r="M163" s="31" t="s">
        <v>7</v>
      </c>
      <c r="N163" s="32" t="s">
        <v>9</v>
      </c>
      <c r="O163" s="33">
        <v>1</v>
      </c>
      <c r="P163" s="31"/>
    </row>
    <row r="164" spans="1:17" s="24" customFormat="1" ht="13.25" customHeight="1" x14ac:dyDescent="0.15">
      <c r="B164" s="13" t="s">
        <v>88</v>
      </c>
      <c r="C164" s="36">
        <v>71294</v>
      </c>
      <c r="D164" s="37">
        <v>2</v>
      </c>
      <c r="E164" s="37">
        <v>5</v>
      </c>
      <c r="F164" s="44">
        <v>73.599999999999994</v>
      </c>
      <c r="G164" s="44">
        <v>73.900000000000006</v>
      </c>
      <c r="H164" s="38">
        <v>1.706</v>
      </c>
      <c r="I164" s="31">
        <v>20.833333333333332</v>
      </c>
      <c r="J164" s="31">
        <v>20.78</v>
      </c>
      <c r="K164" s="39">
        <v>2.5</v>
      </c>
      <c r="L164" s="31" t="s">
        <v>6</v>
      </c>
      <c r="M164" s="31" t="s">
        <v>6</v>
      </c>
      <c r="N164" s="32" t="s">
        <v>6</v>
      </c>
      <c r="O164" s="33">
        <v>1</v>
      </c>
      <c r="P164" s="31"/>
    </row>
    <row r="165" spans="1:17" s="24" customFormat="1" ht="13.25" customHeight="1" x14ac:dyDescent="0.15">
      <c r="B165" s="13" t="s">
        <v>88</v>
      </c>
      <c r="C165" s="36">
        <v>301199</v>
      </c>
      <c r="D165" s="37">
        <v>3</v>
      </c>
      <c r="E165" s="37">
        <v>5</v>
      </c>
      <c r="F165" s="44">
        <v>76.400000000000006</v>
      </c>
      <c r="G165" s="44">
        <v>76.099999999999994</v>
      </c>
      <c r="H165" s="38">
        <v>1.66</v>
      </c>
      <c r="I165" s="31">
        <v>9.7222222222222214</v>
      </c>
      <c r="J165" s="31">
        <v>9.94</v>
      </c>
      <c r="K165" s="39">
        <v>2.5</v>
      </c>
      <c r="L165" s="31" t="s">
        <v>6</v>
      </c>
      <c r="M165" s="31" t="s">
        <v>6</v>
      </c>
      <c r="N165" s="32" t="s">
        <v>6</v>
      </c>
      <c r="O165" s="33">
        <v>1</v>
      </c>
      <c r="P165" s="31"/>
    </row>
    <row r="166" spans="1:17" s="24" customFormat="1" ht="13.25" customHeight="1" x14ac:dyDescent="0.15">
      <c r="B166" s="13" t="s">
        <v>88</v>
      </c>
      <c r="C166" s="36">
        <v>151104</v>
      </c>
      <c r="D166" s="37">
        <v>4</v>
      </c>
      <c r="E166" s="37">
        <v>7</v>
      </c>
      <c r="F166" s="44">
        <f>55/0.72</f>
        <v>76.388888888888886</v>
      </c>
      <c r="G166" s="44">
        <v>76.099999999999994</v>
      </c>
      <c r="H166" s="38">
        <v>1.68</v>
      </c>
      <c r="I166" s="31">
        <v>6.9444444444444446</v>
      </c>
      <c r="J166" s="31">
        <v>7.29</v>
      </c>
      <c r="K166" s="39">
        <v>2.5</v>
      </c>
      <c r="L166" s="31" t="s">
        <v>6</v>
      </c>
      <c r="M166" s="31" t="s">
        <v>6</v>
      </c>
      <c r="N166" s="32" t="s">
        <v>6</v>
      </c>
      <c r="O166" s="33">
        <v>1</v>
      </c>
      <c r="P166" s="31"/>
    </row>
    <row r="167" spans="1:17" s="24" customFormat="1" ht="13.25" customHeight="1" x14ac:dyDescent="0.15">
      <c r="B167" s="13" t="s">
        <v>34</v>
      </c>
      <c r="C167" s="36">
        <v>281109</v>
      </c>
      <c r="D167" s="37">
        <v>5</v>
      </c>
      <c r="E167" s="37">
        <v>9</v>
      </c>
      <c r="F167" s="44">
        <v>75</v>
      </c>
      <c r="G167" s="44">
        <v>74.3</v>
      </c>
      <c r="H167" s="38">
        <v>1.73</v>
      </c>
      <c r="I167" s="31">
        <v>11.1111111111111</v>
      </c>
      <c r="J167" s="31">
        <v>11.3</v>
      </c>
      <c r="K167" s="39">
        <v>2</v>
      </c>
      <c r="L167" s="31" t="s">
        <v>6</v>
      </c>
      <c r="M167" s="31" t="s">
        <v>6</v>
      </c>
      <c r="N167" s="32" t="s">
        <v>6</v>
      </c>
      <c r="O167" s="33">
        <v>1</v>
      </c>
      <c r="P167" s="31"/>
      <c r="Q167" s="24" t="s">
        <v>264</v>
      </c>
    </row>
    <row r="168" spans="1:17" s="24" customFormat="1" ht="13.25" customHeight="1" x14ac:dyDescent="0.15">
      <c r="B168" s="13" t="s">
        <v>88</v>
      </c>
      <c r="C168" s="36">
        <v>281114</v>
      </c>
      <c r="D168" s="37">
        <v>6</v>
      </c>
      <c r="E168" s="37">
        <v>10</v>
      </c>
      <c r="F168" s="44">
        <v>80.2</v>
      </c>
      <c r="G168" s="44">
        <v>80</v>
      </c>
      <c r="H168" s="38">
        <v>1.5409999999999999</v>
      </c>
      <c r="I168" s="31">
        <v>5.2</v>
      </c>
      <c r="J168" s="31">
        <v>4.8</v>
      </c>
      <c r="K168" s="39">
        <v>2</v>
      </c>
      <c r="L168" s="31" t="s">
        <v>6</v>
      </c>
      <c r="M168" s="31" t="s">
        <v>6</v>
      </c>
      <c r="N168" s="32" t="s">
        <v>6</v>
      </c>
      <c r="O168" s="33">
        <v>1</v>
      </c>
      <c r="P168" s="31"/>
    </row>
    <row r="169" spans="1:17" s="24" customFormat="1" ht="13.25" customHeight="1" x14ac:dyDescent="0.15">
      <c r="A169" s="24">
        <v>33</v>
      </c>
      <c r="B169" s="13" t="s">
        <v>89</v>
      </c>
      <c r="C169" s="36">
        <v>140293</v>
      </c>
      <c r="D169" s="37">
        <v>1</v>
      </c>
      <c r="E169" s="37">
        <v>9</v>
      </c>
      <c r="F169" s="40">
        <v>34.9</v>
      </c>
      <c r="G169" s="25">
        <v>30.7</v>
      </c>
      <c r="H169" s="38">
        <v>4.2300000000000004</v>
      </c>
      <c r="I169" s="31">
        <v>26.506024096385541</v>
      </c>
      <c r="J169" s="31"/>
      <c r="K169" s="39">
        <v>3.5</v>
      </c>
      <c r="L169" s="31" t="s">
        <v>9</v>
      </c>
      <c r="M169" s="31" t="s">
        <v>6</v>
      </c>
      <c r="N169" s="32" t="s">
        <v>6</v>
      </c>
      <c r="O169" s="33">
        <v>0</v>
      </c>
      <c r="P169" s="31"/>
    </row>
    <row r="170" spans="1:17" s="24" customFormat="1" ht="13.25" customHeight="1" x14ac:dyDescent="0.15">
      <c r="B170" s="13" t="s">
        <v>89</v>
      </c>
      <c r="C170" s="36">
        <v>120195</v>
      </c>
      <c r="D170" s="37">
        <v>2</v>
      </c>
      <c r="E170" s="37">
        <v>9</v>
      </c>
      <c r="F170" s="44">
        <v>34.9</v>
      </c>
      <c r="G170" s="44" t="s">
        <v>7</v>
      </c>
      <c r="H170" s="38">
        <v>4.1539999999999999</v>
      </c>
      <c r="I170" s="31">
        <v>28.91566265060241</v>
      </c>
      <c r="J170" s="31" t="s">
        <v>7</v>
      </c>
      <c r="K170" s="39">
        <v>4</v>
      </c>
      <c r="L170" s="31" t="s">
        <v>9</v>
      </c>
      <c r="M170" s="31" t="s">
        <v>6</v>
      </c>
      <c r="N170" s="32" t="s">
        <v>9</v>
      </c>
      <c r="O170" s="33">
        <v>0</v>
      </c>
      <c r="P170" s="31"/>
    </row>
    <row r="171" spans="1:17" s="24" customFormat="1" ht="13.25" customHeight="1" x14ac:dyDescent="0.15">
      <c r="B171" s="13" t="s">
        <v>89</v>
      </c>
      <c r="C171" s="36">
        <v>231196</v>
      </c>
      <c r="D171" s="37">
        <v>3</v>
      </c>
      <c r="E171" s="37">
        <v>7</v>
      </c>
      <c r="F171" s="44">
        <v>71.099999999999994</v>
      </c>
      <c r="G171" s="44" t="s">
        <v>7</v>
      </c>
      <c r="H171" s="38">
        <v>1.917</v>
      </c>
      <c r="I171" s="31">
        <v>9.6385542168674707</v>
      </c>
      <c r="J171" s="31" t="s">
        <v>7</v>
      </c>
      <c r="K171" s="39">
        <v>6</v>
      </c>
      <c r="L171" s="31" t="s">
        <v>9</v>
      </c>
      <c r="M171" s="31" t="s">
        <v>9</v>
      </c>
      <c r="N171" s="32" t="s">
        <v>6</v>
      </c>
      <c r="O171" s="33">
        <v>0</v>
      </c>
      <c r="P171" s="31"/>
    </row>
    <row r="172" spans="1:17" s="24" customFormat="1" ht="13.25" customHeight="1" x14ac:dyDescent="0.15">
      <c r="B172" s="13" t="s">
        <v>89</v>
      </c>
      <c r="C172" s="36">
        <v>241199</v>
      </c>
      <c r="D172" s="37">
        <v>4</v>
      </c>
      <c r="E172" s="37">
        <v>5</v>
      </c>
      <c r="F172" s="44">
        <v>45.8</v>
      </c>
      <c r="G172" s="44" t="s">
        <v>7</v>
      </c>
      <c r="H172" s="38">
        <v>3.33</v>
      </c>
      <c r="I172" s="31">
        <f>1700/83</f>
        <v>20.481927710843372</v>
      </c>
      <c r="J172" s="31" t="s">
        <v>7</v>
      </c>
      <c r="K172" s="39">
        <v>5</v>
      </c>
      <c r="L172" s="31" t="s">
        <v>6</v>
      </c>
      <c r="M172" s="31" t="s">
        <v>9</v>
      </c>
      <c r="N172" s="32" t="s">
        <v>6</v>
      </c>
      <c r="O172" s="33">
        <v>0</v>
      </c>
      <c r="P172" s="31"/>
    </row>
    <row r="173" spans="1:17" s="24" customFormat="1" ht="13.25" customHeight="1" x14ac:dyDescent="0.15">
      <c r="B173" s="13" t="s">
        <v>89</v>
      </c>
      <c r="C173" s="36">
        <v>41204</v>
      </c>
      <c r="D173" s="37">
        <v>5</v>
      </c>
      <c r="E173" s="37">
        <v>11</v>
      </c>
      <c r="F173" s="44">
        <f>47/1.13</f>
        <v>41.592920353982308</v>
      </c>
      <c r="G173" s="40">
        <v>37.200000000000003</v>
      </c>
      <c r="H173" s="38">
        <v>3.7250000000000001</v>
      </c>
      <c r="I173" s="31">
        <f>2500/113</f>
        <v>22.123893805309734</v>
      </c>
      <c r="J173" s="31">
        <v>21.23</v>
      </c>
      <c r="K173" s="39">
        <v>3</v>
      </c>
      <c r="L173" s="31" t="s">
        <v>6</v>
      </c>
      <c r="M173" s="31" t="s">
        <v>6</v>
      </c>
      <c r="N173" s="32" t="s">
        <v>6</v>
      </c>
      <c r="O173" s="33">
        <v>0</v>
      </c>
      <c r="P173" s="31"/>
    </row>
    <row r="174" spans="1:17" s="24" customFormat="1" ht="13.25" customHeight="1" x14ac:dyDescent="0.15">
      <c r="B174" s="13" t="s">
        <v>89</v>
      </c>
      <c r="C174" s="36">
        <v>201009</v>
      </c>
      <c r="D174" s="37">
        <v>6</v>
      </c>
      <c r="E174" s="37">
        <v>7</v>
      </c>
      <c r="F174" s="44">
        <v>67.3</v>
      </c>
      <c r="G174" s="40" t="s">
        <v>7</v>
      </c>
      <c r="H174" s="38">
        <v>2.109</v>
      </c>
      <c r="I174" s="31">
        <v>13.2</v>
      </c>
      <c r="J174" s="31" t="s">
        <v>7</v>
      </c>
      <c r="K174" s="39">
        <v>3.5</v>
      </c>
      <c r="L174" s="31" t="s">
        <v>6</v>
      </c>
      <c r="M174" s="31" t="s">
        <v>6</v>
      </c>
      <c r="N174" s="32" t="s">
        <v>9</v>
      </c>
      <c r="O174" s="33">
        <v>0</v>
      </c>
      <c r="P174" s="31"/>
      <c r="Q174" s="24" t="s">
        <v>219</v>
      </c>
    </row>
    <row r="175" spans="1:17" s="24" customFormat="1" ht="13.25" customHeight="1" x14ac:dyDescent="0.15">
      <c r="B175" s="13" t="s">
        <v>35</v>
      </c>
      <c r="C175" s="36">
        <v>310111</v>
      </c>
      <c r="D175" s="37">
        <v>7</v>
      </c>
      <c r="E175" s="37">
        <v>8</v>
      </c>
      <c r="F175" s="44">
        <v>34.5</v>
      </c>
      <c r="G175" s="40">
        <v>32.99</v>
      </c>
      <c r="H175" s="38">
        <v>4.6399999999999997</v>
      </c>
      <c r="I175" s="31">
        <v>23</v>
      </c>
      <c r="J175" s="31">
        <v>20.57</v>
      </c>
      <c r="K175" s="39">
        <v>4.5</v>
      </c>
      <c r="L175" s="31" t="s">
        <v>6</v>
      </c>
      <c r="M175" s="31" t="s">
        <v>9</v>
      </c>
      <c r="N175" s="32" t="s">
        <v>6</v>
      </c>
      <c r="O175" s="33">
        <v>0</v>
      </c>
      <c r="P175" s="31"/>
    </row>
    <row r="176" spans="1:17" s="24" customFormat="1" ht="13.25" customHeight="1" x14ac:dyDescent="0.15">
      <c r="A176" s="24">
        <v>34</v>
      </c>
      <c r="B176" s="13" t="s">
        <v>222</v>
      </c>
      <c r="C176" s="36">
        <v>40792</v>
      </c>
      <c r="D176" s="37">
        <v>1</v>
      </c>
      <c r="E176" s="37">
        <v>2</v>
      </c>
      <c r="F176" s="40">
        <v>53</v>
      </c>
      <c r="G176" s="25">
        <v>50.6</v>
      </c>
      <c r="H176" s="38">
        <v>2.004</v>
      </c>
      <c r="I176" s="31">
        <v>46.374367622259697</v>
      </c>
      <c r="J176" s="31"/>
      <c r="K176" s="39">
        <v>4.5</v>
      </c>
      <c r="L176" s="31" t="s">
        <v>6</v>
      </c>
      <c r="M176" s="31" t="s">
        <v>7</v>
      </c>
      <c r="N176" s="32" t="s">
        <v>9</v>
      </c>
      <c r="O176" s="33">
        <v>1</v>
      </c>
      <c r="P176" s="31"/>
    </row>
    <row r="177" spans="1:17" s="24" customFormat="1" ht="13.25" customHeight="1" x14ac:dyDescent="0.15">
      <c r="B177" s="13" t="s">
        <v>222</v>
      </c>
      <c r="C177" s="36">
        <v>70399</v>
      </c>
      <c r="D177" s="37">
        <v>2</v>
      </c>
      <c r="E177" s="37">
        <v>3</v>
      </c>
      <c r="F177" s="40">
        <v>57</v>
      </c>
      <c r="G177" s="40">
        <v>57.1</v>
      </c>
      <c r="H177" s="38">
        <v>1.17</v>
      </c>
      <c r="I177" s="31">
        <v>20.555555555555557</v>
      </c>
      <c r="J177" s="31">
        <v>30.6</v>
      </c>
      <c r="K177" s="39">
        <v>3.5</v>
      </c>
      <c r="L177" s="31" t="s">
        <v>6</v>
      </c>
      <c r="M177" s="31" t="s">
        <v>6</v>
      </c>
      <c r="N177" s="32" t="s">
        <v>6</v>
      </c>
      <c r="O177" s="33">
        <v>1</v>
      </c>
      <c r="P177" s="31"/>
    </row>
    <row r="178" spans="1:17" s="24" customFormat="1" ht="13.25" customHeight="1" x14ac:dyDescent="0.15">
      <c r="B178" s="13" t="s">
        <v>1</v>
      </c>
      <c r="C178" s="36">
        <v>120403</v>
      </c>
      <c r="D178" s="37">
        <v>3</v>
      </c>
      <c r="E178" s="37">
        <v>3</v>
      </c>
      <c r="F178" s="40">
        <v>69.724770642201833</v>
      </c>
      <c r="G178" s="40">
        <v>54.63</v>
      </c>
      <c r="H178" s="38">
        <v>1.8160000000000001</v>
      </c>
      <c r="I178" s="31">
        <v>24.770642201834864</v>
      </c>
      <c r="J178" s="31">
        <v>27.87</v>
      </c>
      <c r="K178" s="39">
        <v>4</v>
      </c>
      <c r="L178" s="31" t="s">
        <v>6</v>
      </c>
      <c r="M178" s="31" t="s">
        <v>6</v>
      </c>
      <c r="N178" s="32" t="s">
        <v>6</v>
      </c>
      <c r="O178" s="33">
        <v>1</v>
      </c>
      <c r="P178" s="31"/>
    </row>
    <row r="179" spans="1:17" s="24" customFormat="1" ht="13.25" customHeight="1" x14ac:dyDescent="0.15">
      <c r="B179" s="13" t="s">
        <v>2</v>
      </c>
      <c r="C179" s="36">
        <v>120403</v>
      </c>
      <c r="D179" s="37">
        <v>3</v>
      </c>
      <c r="E179" s="37">
        <v>8</v>
      </c>
      <c r="F179" s="40">
        <v>61.560690000000001</v>
      </c>
      <c r="G179" s="40">
        <v>54.49</v>
      </c>
      <c r="H179" s="38">
        <v>2.1779999999999999</v>
      </c>
      <c r="I179" s="31">
        <v>26.666666666666668</v>
      </c>
      <c r="J179" s="31">
        <v>27.44</v>
      </c>
      <c r="K179" s="39">
        <v>4</v>
      </c>
      <c r="L179" s="31" t="s">
        <v>6</v>
      </c>
      <c r="M179" s="31" t="s">
        <v>6</v>
      </c>
      <c r="N179" s="32" t="s">
        <v>6</v>
      </c>
      <c r="O179" s="33">
        <v>1</v>
      </c>
      <c r="P179" s="31"/>
    </row>
    <row r="180" spans="1:17" s="24" customFormat="1" ht="13.25" customHeight="1" x14ac:dyDescent="0.15">
      <c r="B180" s="13" t="s">
        <v>191</v>
      </c>
      <c r="C180" s="36">
        <v>210407</v>
      </c>
      <c r="D180" s="24">
        <v>4</v>
      </c>
      <c r="E180" s="37">
        <v>5</v>
      </c>
      <c r="F180" s="40">
        <v>79.8</v>
      </c>
      <c r="G180" s="40"/>
      <c r="H180" s="38">
        <v>1.5229999999999999</v>
      </c>
      <c r="I180" s="31">
        <v>12.8</v>
      </c>
      <c r="J180" s="31"/>
      <c r="K180" s="31">
        <v>4</v>
      </c>
      <c r="L180" s="31" t="s">
        <v>6</v>
      </c>
      <c r="M180" s="31" t="s">
        <v>6</v>
      </c>
      <c r="N180" s="32" t="s">
        <v>6</v>
      </c>
      <c r="O180" s="33">
        <v>1</v>
      </c>
      <c r="P180" s="31"/>
      <c r="Q180" s="24" t="s">
        <v>265</v>
      </c>
    </row>
    <row r="181" spans="1:17" s="24" customFormat="1" ht="13.25" customHeight="1" x14ac:dyDescent="0.15">
      <c r="B181" s="13" t="s">
        <v>2</v>
      </c>
      <c r="C181" s="36">
        <v>210407</v>
      </c>
      <c r="D181" s="24">
        <v>4</v>
      </c>
      <c r="E181" s="37">
        <v>4</v>
      </c>
      <c r="F181" s="40">
        <v>73.099999999999994</v>
      </c>
      <c r="G181" s="40"/>
      <c r="H181" s="38">
        <v>1.75</v>
      </c>
      <c r="I181" s="31">
        <v>17.5</v>
      </c>
      <c r="J181" s="31"/>
      <c r="K181" s="31">
        <v>4</v>
      </c>
      <c r="L181" s="31" t="s">
        <v>6</v>
      </c>
      <c r="M181" s="31" t="s">
        <v>6</v>
      </c>
      <c r="N181" s="32" t="s">
        <v>6</v>
      </c>
      <c r="O181" s="33">
        <v>1</v>
      </c>
      <c r="P181" s="31"/>
    </row>
    <row r="182" spans="1:17" s="54" customFormat="1" ht="13.25" customHeight="1" x14ac:dyDescent="0.15">
      <c r="B182" s="13" t="s">
        <v>191</v>
      </c>
      <c r="C182" s="36">
        <v>90411</v>
      </c>
      <c r="D182" s="24">
        <v>5</v>
      </c>
      <c r="E182" s="37">
        <v>4</v>
      </c>
      <c r="F182" s="40">
        <v>41.284403669724803</v>
      </c>
      <c r="G182" s="40"/>
      <c r="H182" s="38">
        <v>5.2009999999999996</v>
      </c>
      <c r="I182" s="31">
        <v>11.926605504587201</v>
      </c>
      <c r="J182" s="31"/>
      <c r="K182" s="31">
        <v>4</v>
      </c>
      <c r="L182" s="31" t="s">
        <v>6</v>
      </c>
      <c r="M182" s="31" t="s">
        <v>6</v>
      </c>
      <c r="N182" s="32" t="s">
        <v>6</v>
      </c>
      <c r="O182" s="33">
        <v>1</v>
      </c>
      <c r="P182" s="31"/>
      <c r="Q182" s="24" t="s">
        <v>265</v>
      </c>
    </row>
    <row r="183" spans="1:17" s="24" customFormat="1" ht="13.25" customHeight="1" x14ac:dyDescent="0.15">
      <c r="B183" s="13" t="s">
        <v>2</v>
      </c>
      <c r="C183" s="36">
        <v>90411</v>
      </c>
      <c r="D183" s="24">
        <v>5</v>
      </c>
      <c r="E183" s="37">
        <v>4</v>
      </c>
      <c r="F183" s="40">
        <v>34.1666666666667</v>
      </c>
      <c r="G183" s="40"/>
      <c r="H183" s="38">
        <v>6.8710000000000004</v>
      </c>
      <c r="I183" s="31">
        <v>13.0555555555556</v>
      </c>
      <c r="J183" s="31"/>
      <c r="K183" s="31">
        <v>4</v>
      </c>
      <c r="L183" s="31" t="s">
        <v>6</v>
      </c>
      <c r="M183" s="31" t="s">
        <v>6</v>
      </c>
      <c r="N183" s="32" t="s">
        <v>6</v>
      </c>
      <c r="O183" s="33">
        <v>1</v>
      </c>
      <c r="P183" s="31"/>
    </row>
    <row r="184" spans="1:17" s="24" customFormat="1" ht="13.25" customHeight="1" x14ac:dyDescent="0.15">
      <c r="B184" s="13" t="s">
        <v>191</v>
      </c>
      <c r="C184" s="36">
        <v>280315</v>
      </c>
      <c r="D184" s="24">
        <v>6</v>
      </c>
      <c r="E184" s="37" t="s">
        <v>7</v>
      </c>
      <c r="F184" s="40" t="s">
        <v>7</v>
      </c>
      <c r="G184" s="40" t="s">
        <v>7</v>
      </c>
      <c r="H184" s="38"/>
      <c r="I184" s="31" t="s">
        <v>7</v>
      </c>
      <c r="J184" s="31" t="s">
        <v>7</v>
      </c>
      <c r="K184" s="31">
        <v>4.5</v>
      </c>
      <c r="L184" s="31" t="s">
        <v>7</v>
      </c>
      <c r="M184" s="31" t="s">
        <v>7</v>
      </c>
      <c r="N184" s="32"/>
      <c r="O184" s="33"/>
      <c r="P184" s="31"/>
    </row>
    <row r="185" spans="1:17" s="24" customFormat="1" ht="13.25" customHeight="1" x14ac:dyDescent="0.15">
      <c r="B185" s="13" t="s">
        <v>2</v>
      </c>
      <c r="C185" s="36">
        <v>280315</v>
      </c>
      <c r="D185" s="24">
        <v>6</v>
      </c>
      <c r="E185" s="37">
        <v>6</v>
      </c>
      <c r="F185" s="40">
        <v>58.8</v>
      </c>
      <c r="G185" s="40" t="s">
        <v>7</v>
      </c>
      <c r="H185" s="38"/>
      <c r="I185" s="31">
        <v>38.799999999999997</v>
      </c>
      <c r="J185" s="31" t="s">
        <v>7</v>
      </c>
      <c r="K185" s="31">
        <v>4.5</v>
      </c>
      <c r="L185" s="31" t="s">
        <v>6</v>
      </c>
      <c r="M185" s="31" t="s">
        <v>9</v>
      </c>
      <c r="N185" s="32"/>
      <c r="O185" s="33"/>
      <c r="P185" s="31"/>
    </row>
    <row r="186" spans="1:17" s="24" customFormat="1" ht="13.25" customHeight="1" x14ac:dyDescent="0.15">
      <c r="A186" s="24">
        <v>35</v>
      </c>
      <c r="B186" s="13" t="s">
        <v>3</v>
      </c>
      <c r="C186" s="36">
        <v>290903</v>
      </c>
      <c r="D186" s="37">
        <v>1</v>
      </c>
      <c r="E186" s="37">
        <v>3</v>
      </c>
      <c r="F186" s="40">
        <v>75.471699999999998</v>
      </c>
      <c r="G186" s="25">
        <v>73.78</v>
      </c>
      <c r="H186" s="38">
        <v>1.667</v>
      </c>
      <c r="I186" s="31">
        <v>13.20754716981132</v>
      </c>
      <c r="J186" s="31">
        <v>12.31</v>
      </c>
      <c r="K186" s="39">
        <v>5.5</v>
      </c>
      <c r="L186" s="31" t="s">
        <v>6</v>
      </c>
      <c r="M186" s="31" t="s">
        <v>7</v>
      </c>
      <c r="N186" s="32" t="s">
        <v>6</v>
      </c>
      <c r="O186" s="33">
        <v>0</v>
      </c>
      <c r="P186" s="31"/>
    </row>
    <row r="187" spans="1:17" s="24" customFormat="1" ht="13.25" customHeight="1" x14ac:dyDescent="0.15">
      <c r="B187" s="13" t="s">
        <v>195</v>
      </c>
      <c r="C187" s="36">
        <v>150908</v>
      </c>
      <c r="D187" s="37">
        <v>2</v>
      </c>
      <c r="E187" s="37">
        <v>3</v>
      </c>
      <c r="F187" s="40">
        <f>42/0.8</f>
        <v>52.5</v>
      </c>
      <c r="G187" s="40">
        <v>78.760000000000005</v>
      </c>
      <c r="H187" s="38">
        <v>3.4489999999999998</v>
      </c>
      <c r="I187" s="31">
        <f>7/0.8</f>
        <v>8.75</v>
      </c>
      <c r="J187" s="47">
        <v>13.12</v>
      </c>
      <c r="K187" s="39">
        <v>5.5</v>
      </c>
      <c r="L187" s="31" t="s">
        <v>6</v>
      </c>
      <c r="M187" s="31" t="s">
        <v>6</v>
      </c>
      <c r="N187" s="49" t="s">
        <v>9</v>
      </c>
      <c r="O187" s="50">
        <v>0</v>
      </c>
      <c r="P187" s="47" t="s">
        <v>196</v>
      </c>
    </row>
    <row r="188" spans="1:17" s="24" customFormat="1" ht="13.25" customHeight="1" x14ac:dyDescent="0.15">
      <c r="B188" s="13" t="s">
        <v>221</v>
      </c>
      <c r="C188" s="36">
        <v>160913</v>
      </c>
      <c r="D188" s="37">
        <v>3</v>
      </c>
      <c r="E188" s="37">
        <v>3</v>
      </c>
      <c r="F188" s="40">
        <v>77.400000000000006</v>
      </c>
      <c r="G188" s="40">
        <v>76.2</v>
      </c>
      <c r="H188" s="38">
        <v>1.601</v>
      </c>
      <c r="I188" s="31">
        <v>13.2</v>
      </c>
      <c r="J188" s="31">
        <v>13.03</v>
      </c>
      <c r="K188" s="39">
        <v>5.5</v>
      </c>
      <c r="L188" s="31" t="s">
        <v>6</v>
      </c>
      <c r="M188" s="31" t="s">
        <v>6</v>
      </c>
      <c r="N188" s="32" t="s">
        <v>9</v>
      </c>
      <c r="O188" s="33">
        <v>0</v>
      </c>
      <c r="P188" s="31"/>
      <c r="Q188" s="24" t="s">
        <v>220</v>
      </c>
    </row>
    <row r="189" spans="1:17" s="24" customFormat="1" ht="13.25" customHeight="1" x14ac:dyDescent="0.15">
      <c r="A189" s="24">
        <v>36</v>
      </c>
      <c r="B189" s="13" t="s">
        <v>90</v>
      </c>
      <c r="C189" s="36">
        <v>200191</v>
      </c>
      <c r="D189" s="37">
        <v>1</v>
      </c>
      <c r="E189" s="37">
        <v>3</v>
      </c>
      <c r="F189" s="40">
        <v>60</v>
      </c>
      <c r="G189" s="25">
        <v>54.37</v>
      </c>
      <c r="H189" s="38">
        <v>2.3050000000000002</v>
      </c>
      <c r="I189" s="31">
        <v>38.18181818181818</v>
      </c>
      <c r="J189" s="31">
        <v>30.5</v>
      </c>
      <c r="K189" s="39">
        <v>2.5</v>
      </c>
      <c r="L189" s="31" t="s">
        <v>6</v>
      </c>
      <c r="M189" s="31" t="s">
        <v>9</v>
      </c>
      <c r="N189" s="32" t="s">
        <v>6</v>
      </c>
      <c r="O189" s="33">
        <v>0</v>
      </c>
      <c r="P189" s="31"/>
    </row>
    <row r="190" spans="1:17" s="24" customFormat="1" ht="13.25" customHeight="1" x14ac:dyDescent="0.15">
      <c r="B190" s="13" t="s">
        <v>90</v>
      </c>
      <c r="C190" s="34">
        <v>190294</v>
      </c>
      <c r="D190" s="37">
        <v>2</v>
      </c>
      <c r="E190" s="37">
        <v>3</v>
      </c>
      <c r="F190" s="44">
        <v>49</v>
      </c>
      <c r="G190" s="44">
        <v>42.5</v>
      </c>
      <c r="H190" s="38">
        <v>2.702</v>
      </c>
      <c r="I190" s="31">
        <v>25.454545454545453</v>
      </c>
      <c r="J190" s="31">
        <v>26.27</v>
      </c>
      <c r="K190" s="39">
        <v>1.5</v>
      </c>
      <c r="L190" s="31" t="s">
        <v>9</v>
      </c>
      <c r="M190" s="31" t="s">
        <v>9</v>
      </c>
      <c r="N190" s="32" t="s">
        <v>9</v>
      </c>
      <c r="O190" s="33">
        <v>0</v>
      </c>
      <c r="P190" s="31"/>
    </row>
    <row r="191" spans="1:17" s="24" customFormat="1" ht="13.25" customHeight="1" x14ac:dyDescent="0.15">
      <c r="B191" s="13" t="s">
        <v>90</v>
      </c>
      <c r="C191" s="36">
        <v>81198</v>
      </c>
      <c r="D191" s="37">
        <v>3</v>
      </c>
      <c r="E191" s="37">
        <v>3</v>
      </c>
      <c r="F191" s="44">
        <v>56.4</v>
      </c>
      <c r="G191" s="44">
        <f>14785/320.24</f>
        <v>46.168498626030477</v>
      </c>
      <c r="H191" s="38">
        <v>2.3580000000000001</v>
      </c>
      <c r="I191" s="31">
        <v>29.09090909090909</v>
      </c>
      <c r="J191" s="31">
        <v>28.19</v>
      </c>
      <c r="K191" s="39">
        <v>1.5</v>
      </c>
      <c r="L191" s="31" t="s">
        <v>9</v>
      </c>
      <c r="M191" s="31" t="s">
        <v>6</v>
      </c>
      <c r="N191" s="32" t="s">
        <v>9</v>
      </c>
      <c r="O191" s="33">
        <v>0</v>
      </c>
      <c r="P191" s="31"/>
    </row>
    <row r="192" spans="1:17" s="24" customFormat="1" ht="13.25" customHeight="1" x14ac:dyDescent="0.15">
      <c r="B192" s="13" t="s">
        <v>90</v>
      </c>
      <c r="C192" s="36">
        <v>30302</v>
      </c>
      <c r="D192" s="37">
        <v>4</v>
      </c>
      <c r="E192" s="37">
        <v>3</v>
      </c>
      <c r="F192" s="44">
        <v>43.636299999999999</v>
      </c>
      <c r="G192" s="44">
        <v>39.6</v>
      </c>
      <c r="H192" s="38">
        <v>2.5876817999999999</v>
      </c>
      <c r="I192" s="31">
        <v>41.81818181818182</v>
      </c>
      <c r="J192" s="31">
        <v>39.369999999999997</v>
      </c>
      <c r="K192" s="39">
        <v>1.5</v>
      </c>
      <c r="L192" s="31" t="s">
        <v>9</v>
      </c>
      <c r="M192" s="31" t="s">
        <v>6</v>
      </c>
      <c r="N192" s="32" t="s">
        <v>9</v>
      </c>
      <c r="O192" s="33">
        <v>0</v>
      </c>
      <c r="P192" s="31"/>
    </row>
    <row r="193" spans="1:16" s="24" customFormat="1" ht="13.25" customHeight="1" thickBot="1" x14ac:dyDescent="0.2">
      <c r="B193" s="13" t="s">
        <v>90</v>
      </c>
      <c r="C193" s="36">
        <v>260306</v>
      </c>
      <c r="D193" s="37">
        <v>5</v>
      </c>
      <c r="E193" s="37">
        <v>4</v>
      </c>
      <c r="F193" s="44">
        <f>23/0.55</f>
        <v>41.818181818181813</v>
      </c>
      <c r="G193" s="44">
        <v>36.79</v>
      </c>
      <c r="H193" s="38">
        <v>2.8780000000000001</v>
      </c>
      <c r="I193" s="31">
        <v>36.363636363636367</v>
      </c>
      <c r="J193" s="31">
        <v>29.47</v>
      </c>
      <c r="K193" s="39">
        <v>2</v>
      </c>
      <c r="L193" s="31" t="s">
        <v>6</v>
      </c>
      <c r="M193" s="31" t="s">
        <v>9</v>
      </c>
      <c r="N193" s="32" t="s">
        <v>9</v>
      </c>
      <c r="O193" s="33">
        <v>0</v>
      </c>
      <c r="P193" s="31"/>
    </row>
    <row r="194" spans="1:16" s="24" customFormat="1" ht="13.25" customHeight="1" thickBot="1" x14ac:dyDescent="0.2">
      <c r="B194" s="13" t="s">
        <v>36</v>
      </c>
      <c r="C194" s="36">
        <v>82110</v>
      </c>
      <c r="D194" s="37">
        <v>6</v>
      </c>
      <c r="E194" s="37">
        <v>4</v>
      </c>
      <c r="F194" s="24">
        <f>26/0.55</f>
        <v>47.272727272727266</v>
      </c>
      <c r="G194" s="25">
        <v>42.2</v>
      </c>
      <c r="H194" s="38">
        <v>2.59</v>
      </c>
      <c r="I194" s="31">
        <f>21/0.55</f>
        <v>38.18181818181818</v>
      </c>
      <c r="J194" s="31">
        <f>22510/701.36</f>
        <v>32.094787270445991</v>
      </c>
      <c r="K194" s="55">
        <v>2</v>
      </c>
      <c r="L194" s="31" t="s">
        <v>9</v>
      </c>
      <c r="M194" s="31" t="s">
        <v>9</v>
      </c>
      <c r="N194" s="32" t="s">
        <v>9</v>
      </c>
      <c r="O194" s="33">
        <v>0</v>
      </c>
      <c r="P194" s="31" t="s">
        <v>161</v>
      </c>
    </row>
    <row r="195" spans="1:16" s="24" customFormat="1" ht="13.25" customHeight="1" x14ac:dyDescent="0.15">
      <c r="B195" s="13" t="s">
        <v>90</v>
      </c>
      <c r="C195" s="36">
        <v>121014</v>
      </c>
      <c r="D195" s="37">
        <v>7</v>
      </c>
      <c r="E195" s="37">
        <v>4</v>
      </c>
      <c r="F195" s="24">
        <v>60</v>
      </c>
      <c r="G195" s="25">
        <v>38.01</v>
      </c>
      <c r="H195" s="38">
        <v>2.206</v>
      </c>
      <c r="I195" s="31">
        <v>29.1</v>
      </c>
      <c r="J195" s="31">
        <v>17.829999999999998</v>
      </c>
      <c r="K195" s="56">
        <v>2</v>
      </c>
      <c r="L195" s="31" t="s">
        <v>9</v>
      </c>
      <c r="M195" s="31" t="s">
        <v>6</v>
      </c>
      <c r="N195" s="32" t="s">
        <v>9</v>
      </c>
      <c r="O195" s="33">
        <v>0</v>
      </c>
      <c r="P195" s="31"/>
    </row>
    <row r="196" spans="1:16" s="24" customFormat="1" ht="13.25" customHeight="1" x14ac:dyDescent="0.15">
      <c r="A196" s="24">
        <v>37</v>
      </c>
      <c r="B196" s="13" t="s">
        <v>91</v>
      </c>
      <c r="C196" s="36">
        <v>90593</v>
      </c>
      <c r="D196" s="37">
        <v>1</v>
      </c>
      <c r="E196" s="37">
        <v>6</v>
      </c>
      <c r="F196" s="40">
        <v>70</v>
      </c>
      <c r="G196" s="25">
        <v>56.6</v>
      </c>
      <c r="H196" s="38">
        <v>1.8440000000000001</v>
      </c>
      <c r="I196" s="31">
        <v>22.5</v>
      </c>
      <c r="J196" s="31">
        <v>30.21</v>
      </c>
      <c r="K196" s="39">
        <v>4.5</v>
      </c>
      <c r="L196" s="31" t="s">
        <v>6</v>
      </c>
      <c r="M196" s="31" t="s">
        <v>6</v>
      </c>
      <c r="N196" s="32" t="s">
        <v>6</v>
      </c>
      <c r="O196" s="33">
        <v>1</v>
      </c>
      <c r="P196" s="31"/>
    </row>
    <row r="197" spans="1:16" s="24" customFormat="1" ht="13.25" customHeight="1" x14ac:dyDescent="0.15">
      <c r="B197" s="13" t="s">
        <v>91</v>
      </c>
      <c r="C197" s="36">
        <v>240598</v>
      </c>
      <c r="D197" s="37">
        <v>2</v>
      </c>
      <c r="E197" s="37">
        <v>11</v>
      </c>
      <c r="F197" s="44">
        <v>66.42</v>
      </c>
      <c r="G197" s="44">
        <v>50.2</v>
      </c>
      <c r="H197" s="38">
        <v>2.1030000000000002</v>
      </c>
      <c r="I197" s="31">
        <v>16.428571428571427</v>
      </c>
      <c r="J197" s="31">
        <v>19.2</v>
      </c>
      <c r="K197" s="39">
        <v>4</v>
      </c>
      <c r="L197" s="31" t="s">
        <v>6</v>
      </c>
      <c r="M197" s="31" t="s">
        <v>6</v>
      </c>
      <c r="N197" s="32" t="s">
        <v>9</v>
      </c>
      <c r="O197" s="33">
        <v>1</v>
      </c>
      <c r="P197" s="31"/>
    </row>
    <row r="198" spans="1:16" s="24" customFormat="1" ht="13.25" customHeight="1" x14ac:dyDescent="0.15">
      <c r="B198" s="13" t="s">
        <v>91</v>
      </c>
      <c r="C198" s="36">
        <v>290401</v>
      </c>
      <c r="D198" s="37">
        <v>3</v>
      </c>
      <c r="E198" s="37">
        <v>6</v>
      </c>
      <c r="F198" s="44">
        <v>74.166700000000006</v>
      </c>
      <c r="G198" s="44">
        <v>49.59</v>
      </c>
      <c r="H198" s="38">
        <v>1.7603911999999999</v>
      </c>
      <c r="I198" s="31">
        <v>9.1666666666666661</v>
      </c>
      <c r="J198" s="31">
        <v>16.13</v>
      </c>
      <c r="K198" s="39">
        <v>3.5</v>
      </c>
      <c r="L198" s="31" t="s">
        <v>6</v>
      </c>
      <c r="M198" s="31" t="s">
        <v>9</v>
      </c>
      <c r="N198" s="32" t="s">
        <v>9</v>
      </c>
      <c r="O198" s="33">
        <v>1</v>
      </c>
      <c r="P198" s="31"/>
    </row>
    <row r="199" spans="1:16" s="24" customFormat="1" ht="13.25" customHeight="1" x14ac:dyDescent="0.15">
      <c r="B199" s="13" t="s">
        <v>91</v>
      </c>
      <c r="C199" s="36">
        <v>30607</v>
      </c>
      <c r="D199" s="37">
        <v>4</v>
      </c>
      <c r="E199" s="37">
        <v>13</v>
      </c>
      <c r="F199" s="44">
        <f>131/1.5</f>
        <v>87.333333333333329</v>
      </c>
      <c r="G199" s="44">
        <v>69.209999999999994</v>
      </c>
      <c r="H199" s="38">
        <v>2.8780000000000001</v>
      </c>
      <c r="I199" s="31">
        <v>2</v>
      </c>
      <c r="J199" s="31">
        <v>5.04</v>
      </c>
      <c r="K199" s="39">
        <v>2.5</v>
      </c>
      <c r="L199" s="31" t="s">
        <v>6</v>
      </c>
      <c r="M199" s="31" t="s">
        <v>6</v>
      </c>
      <c r="N199" s="32" t="s">
        <v>6</v>
      </c>
      <c r="O199" s="33">
        <v>1</v>
      </c>
      <c r="P199" s="31"/>
    </row>
    <row r="200" spans="1:16" s="24" customFormat="1" ht="13.25" customHeight="1" x14ac:dyDescent="0.15">
      <c r="B200" s="13" t="s">
        <v>91</v>
      </c>
      <c r="C200" s="36">
        <v>10712</v>
      </c>
      <c r="D200" s="37">
        <v>5</v>
      </c>
      <c r="E200" s="37">
        <v>13</v>
      </c>
      <c r="F200" s="44">
        <v>79.33</v>
      </c>
      <c r="G200" s="44">
        <v>52.9</v>
      </c>
      <c r="H200" s="38">
        <v>1.57</v>
      </c>
      <c r="I200" s="31">
        <v>8</v>
      </c>
      <c r="J200" s="31">
        <v>15.2</v>
      </c>
      <c r="K200" s="39">
        <v>3</v>
      </c>
      <c r="L200" s="31" t="s">
        <v>6</v>
      </c>
      <c r="M200" s="31" t="s">
        <v>9</v>
      </c>
      <c r="N200" s="32" t="s">
        <v>6</v>
      </c>
      <c r="O200" s="33">
        <v>1</v>
      </c>
      <c r="P200" s="31"/>
    </row>
    <row r="201" spans="1:16" s="24" customFormat="1" ht="13.25" customHeight="1" x14ac:dyDescent="0.15">
      <c r="A201" s="24">
        <v>38</v>
      </c>
      <c r="B201" s="13" t="s">
        <v>92</v>
      </c>
      <c r="C201" s="36">
        <v>230793</v>
      </c>
      <c r="D201" s="37">
        <v>1</v>
      </c>
      <c r="E201" s="37">
        <v>3</v>
      </c>
      <c r="F201" s="40">
        <v>81.8</v>
      </c>
      <c r="G201" s="25">
        <v>56.6</v>
      </c>
      <c r="H201" s="38">
        <v>1.4430000000000001</v>
      </c>
      <c r="I201" s="31">
        <v>15.151515151515152</v>
      </c>
      <c r="J201" s="31"/>
      <c r="K201" s="39">
        <v>3.5</v>
      </c>
      <c r="L201" s="31" t="s">
        <v>6</v>
      </c>
      <c r="M201" s="31" t="s">
        <v>6</v>
      </c>
      <c r="N201" s="32" t="s">
        <v>6</v>
      </c>
      <c r="O201" s="33">
        <v>0</v>
      </c>
      <c r="P201" s="31"/>
    </row>
    <row r="202" spans="1:16" s="24" customFormat="1" ht="13.25" customHeight="1" x14ac:dyDescent="0.15">
      <c r="B202" s="13" t="s">
        <v>92</v>
      </c>
      <c r="C202" s="36">
        <v>200398</v>
      </c>
      <c r="D202" s="37">
        <v>2</v>
      </c>
      <c r="E202" s="37">
        <v>3</v>
      </c>
      <c r="F202" s="44">
        <v>88.24</v>
      </c>
      <c r="G202" s="44">
        <v>61.7</v>
      </c>
      <c r="H202" s="38">
        <v>1.2709999999999999</v>
      </c>
      <c r="I202" s="31">
        <v>8.8235294117647065</v>
      </c>
      <c r="J202" s="31">
        <v>26.06</v>
      </c>
      <c r="K202" s="39">
        <v>3</v>
      </c>
      <c r="L202" s="31" t="s">
        <v>6</v>
      </c>
      <c r="M202" s="31" t="s">
        <v>6</v>
      </c>
      <c r="N202" s="32" t="s">
        <v>6</v>
      </c>
      <c r="O202" s="33">
        <v>0</v>
      </c>
      <c r="P202" s="31"/>
    </row>
    <row r="203" spans="1:16" s="24" customFormat="1" ht="13.25" customHeight="1" x14ac:dyDescent="0.15">
      <c r="B203" s="13" t="s">
        <v>92</v>
      </c>
      <c r="C203" s="36">
        <v>61202</v>
      </c>
      <c r="D203" s="37">
        <v>3</v>
      </c>
      <c r="E203" s="37">
        <v>2</v>
      </c>
      <c r="F203" s="44">
        <v>67.647000000000006</v>
      </c>
      <c r="G203" s="44">
        <v>54.3</v>
      </c>
      <c r="H203" s="38">
        <v>1.7784614999999999</v>
      </c>
      <c r="I203" s="31">
        <v>32.352941176470587</v>
      </c>
      <c r="J203" s="31">
        <v>42.59</v>
      </c>
      <c r="K203" s="39">
        <v>3</v>
      </c>
      <c r="L203" s="31" t="s">
        <v>6</v>
      </c>
      <c r="M203" s="31" t="s">
        <v>6</v>
      </c>
      <c r="N203" s="32" t="s">
        <v>9</v>
      </c>
      <c r="O203" s="33">
        <v>0</v>
      </c>
      <c r="P203" s="31"/>
    </row>
    <row r="204" spans="1:16" s="24" customFormat="1" ht="13.25" customHeight="1" x14ac:dyDescent="0.15">
      <c r="B204" s="13" t="s">
        <v>92</v>
      </c>
      <c r="C204" s="36">
        <v>100507</v>
      </c>
      <c r="D204" s="37">
        <v>4</v>
      </c>
      <c r="E204" s="37">
        <v>2</v>
      </c>
      <c r="F204" s="44">
        <f>23/0.34</f>
        <v>67.647058823529406</v>
      </c>
      <c r="G204" s="44">
        <v>56.16</v>
      </c>
      <c r="H204" s="38">
        <v>1.778</v>
      </c>
      <c r="I204" s="31">
        <v>32.352941176470587</v>
      </c>
      <c r="J204" s="31">
        <v>43.84</v>
      </c>
      <c r="K204" s="39">
        <v>3</v>
      </c>
      <c r="L204" s="31" t="s">
        <v>6</v>
      </c>
      <c r="M204" s="31" t="s">
        <v>6</v>
      </c>
      <c r="N204" s="32" t="s">
        <v>9</v>
      </c>
      <c r="O204" s="33">
        <v>0</v>
      </c>
      <c r="P204" s="31"/>
    </row>
    <row r="205" spans="1:16" s="24" customFormat="1" ht="13.25" customHeight="1" x14ac:dyDescent="0.15">
      <c r="B205" s="13" t="s">
        <v>92</v>
      </c>
      <c r="C205" s="36">
        <v>290911</v>
      </c>
      <c r="D205" s="37">
        <v>5</v>
      </c>
      <c r="E205" s="37">
        <v>1</v>
      </c>
      <c r="F205" s="44">
        <v>100</v>
      </c>
      <c r="G205" s="44">
        <v>88.6</v>
      </c>
      <c r="H205" s="38">
        <v>1</v>
      </c>
      <c r="I205" s="31">
        <v>0</v>
      </c>
      <c r="J205" s="31">
        <v>10.89</v>
      </c>
      <c r="K205" s="39">
        <v>3</v>
      </c>
      <c r="L205" s="31" t="s">
        <v>6</v>
      </c>
      <c r="M205" s="31" t="s">
        <v>6</v>
      </c>
      <c r="N205" s="32" t="s">
        <v>6</v>
      </c>
      <c r="O205" s="33">
        <v>0</v>
      </c>
      <c r="P205" s="31"/>
    </row>
    <row r="206" spans="1:16" s="24" customFormat="1" ht="13.25" customHeight="1" x14ac:dyDescent="0.15">
      <c r="A206" s="24">
        <v>39</v>
      </c>
      <c r="B206" s="13" t="s">
        <v>93</v>
      </c>
      <c r="C206" s="36">
        <v>270296</v>
      </c>
      <c r="D206" s="37">
        <v>1</v>
      </c>
      <c r="E206" s="37">
        <v>6</v>
      </c>
      <c r="F206" s="40">
        <v>39.700000000000003</v>
      </c>
      <c r="G206" s="25">
        <v>35.9</v>
      </c>
      <c r="H206" s="38">
        <v>3.819</v>
      </c>
      <c r="I206" s="31">
        <v>25</v>
      </c>
      <c r="J206" s="31">
        <v>21.6</v>
      </c>
      <c r="K206" s="39">
        <v>4.5</v>
      </c>
      <c r="L206" s="31" t="s">
        <v>6</v>
      </c>
      <c r="M206" s="31" t="s">
        <v>9</v>
      </c>
      <c r="N206" s="32" t="s">
        <v>6</v>
      </c>
      <c r="O206" s="33">
        <v>0</v>
      </c>
      <c r="P206" s="31"/>
    </row>
    <row r="207" spans="1:16" s="24" customFormat="1" ht="13.25" customHeight="1" x14ac:dyDescent="0.15">
      <c r="B207" s="13" t="s">
        <v>93</v>
      </c>
      <c r="C207" s="36">
        <v>140502</v>
      </c>
      <c r="D207" s="37">
        <v>2</v>
      </c>
      <c r="E207" s="37">
        <v>3</v>
      </c>
      <c r="F207" s="40">
        <v>74.106999999999999</v>
      </c>
      <c r="G207" s="40">
        <v>69.900000000000006</v>
      </c>
      <c r="H207" s="38">
        <v>1.6459999999999999</v>
      </c>
      <c r="I207" s="31">
        <v>24.107142857142858</v>
      </c>
      <c r="J207" s="31">
        <v>19.8</v>
      </c>
      <c r="K207" s="39">
        <v>4</v>
      </c>
      <c r="L207" s="31" t="s">
        <v>6</v>
      </c>
      <c r="M207" s="31" t="s">
        <v>6</v>
      </c>
      <c r="N207" s="32" t="s">
        <v>6</v>
      </c>
      <c r="O207" s="33">
        <v>0</v>
      </c>
      <c r="P207" s="31"/>
    </row>
    <row r="208" spans="1:16" s="24" customFormat="1" ht="13.25" customHeight="1" x14ac:dyDescent="0.15">
      <c r="B208" s="13" t="s">
        <v>93</v>
      </c>
      <c r="C208" s="36">
        <v>110807</v>
      </c>
      <c r="D208" s="37">
        <v>3</v>
      </c>
      <c r="E208" s="37">
        <v>3</v>
      </c>
      <c r="F208" s="40">
        <v>52.68</v>
      </c>
      <c r="G208" s="40">
        <v>40.729999999999997</v>
      </c>
      <c r="H208" s="38">
        <v>2.31</v>
      </c>
      <c r="I208" s="31">
        <v>38.4</v>
      </c>
      <c r="J208" s="31">
        <v>39.5</v>
      </c>
      <c r="K208" s="39">
        <v>3.5</v>
      </c>
      <c r="L208" s="31" t="s">
        <v>6</v>
      </c>
      <c r="M208" s="31" t="s">
        <v>9</v>
      </c>
      <c r="N208" s="32" t="s">
        <v>6</v>
      </c>
      <c r="O208" s="33">
        <v>0</v>
      </c>
      <c r="P208" s="31"/>
    </row>
    <row r="209" spans="1:17" s="24" customFormat="1" ht="13.25" customHeight="1" x14ac:dyDescent="0.15">
      <c r="B209" s="13" t="s">
        <v>93</v>
      </c>
      <c r="C209" s="36">
        <v>171112</v>
      </c>
      <c r="D209" s="37">
        <v>4</v>
      </c>
      <c r="E209" s="37">
        <v>2</v>
      </c>
      <c r="F209" s="40">
        <v>54.03</v>
      </c>
      <c r="G209" s="40">
        <v>53.67</v>
      </c>
      <c r="H209" s="38">
        <v>1.9</v>
      </c>
      <c r="I209" s="31">
        <v>33.9</v>
      </c>
      <c r="J209" s="31">
        <v>38.299999999999997</v>
      </c>
      <c r="K209" s="39">
        <v>3</v>
      </c>
      <c r="L209" s="31" t="s">
        <v>6</v>
      </c>
      <c r="M209" s="31" t="s">
        <v>6</v>
      </c>
      <c r="N209" s="32" t="s">
        <v>6</v>
      </c>
      <c r="O209" s="33">
        <v>0</v>
      </c>
      <c r="P209" s="31" t="s">
        <v>160</v>
      </c>
    </row>
    <row r="210" spans="1:17" s="24" customFormat="1" ht="13.25" customHeight="1" x14ac:dyDescent="0.15">
      <c r="A210" s="24">
        <v>40</v>
      </c>
      <c r="B210" s="13" t="s">
        <v>272</v>
      </c>
      <c r="C210" s="36" t="s">
        <v>273</v>
      </c>
      <c r="D210" s="37"/>
      <c r="E210" s="37"/>
      <c r="F210" s="40"/>
      <c r="G210" s="40"/>
      <c r="H210" s="38"/>
      <c r="I210" s="31"/>
      <c r="J210" s="31"/>
      <c r="K210" s="39"/>
      <c r="L210" s="31"/>
      <c r="M210" s="31"/>
      <c r="N210" s="32"/>
      <c r="O210" s="33"/>
      <c r="P210" s="31"/>
    </row>
    <row r="211" spans="1:17" s="24" customFormat="1" ht="13.25" customHeight="1" x14ac:dyDescent="0.15">
      <c r="A211" s="24">
        <v>41</v>
      </c>
      <c r="B211" s="13" t="s">
        <v>94</v>
      </c>
      <c r="C211" s="36">
        <v>260494</v>
      </c>
      <c r="D211" s="37">
        <v>1</v>
      </c>
      <c r="E211" s="37">
        <v>7</v>
      </c>
      <c r="F211" s="40">
        <v>63</v>
      </c>
      <c r="G211" s="25">
        <v>62.65</v>
      </c>
      <c r="H211" s="38">
        <v>2.214</v>
      </c>
      <c r="I211" s="31">
        <v>20.5</v>
      </c>
      <c r="J211" s="31">
        <v>20.39</v>
      </c>
      <c r="K211" s="39">
        <v>2.5</v>
      </c>
      <c r="L211" s="31" t="s">
        <v>7</v>
      </c>
      <c r="M211" s="31" t="s">
        <v>6</v>
      </c>
      <c r="N211" s="32" t="s">
        <v>7</v>
      </c>
      <c r="O211" s="33">
        <v>1</v>
      </c>
      <c r="P211" s="31"/>
    </row>
    <row r="212" spans="1:17" s="24" customFormat="1" ht="13.25" customHeight="1" x14ac:dyDescent="0.15">
      <c r="B212" s="13" t="s">
        <v>94</v>
      </c>
      <c r="C212" s="36">
        <v>20699</v>
      </c>
      <c r="D212" s="37">
        <v>2</v>
      </c>
      <c r="E212" s="37">
        <v>13</v>
      </c>
      <c r="F212" s="40">
        <v>66.5</v>
      </c>
      <c r="G212" s="40">
        <v>66.400000000000006</v>
      </c>
      <c r="H212" s="38">
        <v>2.15</v>
      </c>
      <c r="I212" s="31">
        <v>9.5</v>
      </c>
      <c r="J212" s="31">
        <v>9.56</v>
      </c>
      <c r="K212" s="39">
        <v>1.5</v>
      </c>
      <c r="L212" s="31" t="s">
        <v>7</v>
      </c>
      <c r="M212" s="31" t="s">
        <v>6</v>
      </c>
      <c r="N212" s="32" t="s">
        <v>7</v>
      </c>
      <c r="O212" s="33">
        <v>1</v>
      </c>
      <c r="P212" s="31"/>
    </row>
    <row r="213" spans="1:17" s="24" customFormat="1" ht="13.25" customHeight="1" x14ac:dyDescent="0.15">
      <c r="B213" s="13" t="s">
        <v>94</v>
      </c>
      <c r="C213" s="36">
        <v>140404</v>
      </c>
      <c r="D213" s="37">
        <v>3</v>
      </c>
      <c r="E213" s="37">
        <v>12</v>
      </c>
      <c r="F213" s="40">
        <f>279/4</f>
        <v>69.75</v>
      </c>
      <c r="G213" s="40">
        <v>69.69</v>
      </c>
      <c r="H213" s="38">
        <v>1.966</v>
      </c>
      <c r="I213" s="31">
        <v>12.5</v>
      </c>
      <c r="J213" s="31">
        <v>12.37</v>
      </c>
      <c r="K213" s="39">
        <v>1.5</v>
      </c>
      <c r="L213" s="31" t="s">
        <v>7</v>
      </c>
      <c r="M213" s="31" t="s">
        <v>6</v>
      </c>
      <c r="N213" s="32" t="s">
        <v>7</v>
      </c>
      <c r="O213" s="33">
        <v>1</v>
      </c>
      <c r="P213" s="31"/>
    </row>
    <row r="214" spans="1:17" s="24" customFormat="1" ht="13.25" customHeight="1" x14ac:dyDescent="0.15">
      <c r="B214" s="13" t="s">
        <v>37</v>
      </c>
      <c r="C214" s="36">
        <v>220409</v>
      </c>
      <c r="D214" s="37">
        <v>4</v>
      </c>
      <c r="E214" s="37">
        <v>13</v>
      </c>
      <c r="F214" s="40">
        <v>66</v>
      </c>
      <c r="G214" s="40">
        <v>65.900000000000006</v>
      </c>
      <c r="H214" s="38">
        <v>2.12</v>
      </c>
      <c r="I214" s="31">
        <v>16.75</v>
      </c>
      <c r="J214" s="31">
        <v>16.66</v>
      </c>
      <c r="K214" s="39">
        <v>2</v>
      </c>
      <c r="L214" s="31" t="s">
        <v>7</v>
      </c>
      <c r="M214" s="31" t="s">
        <v>6</v>
      </c>
      <c r="N214" s="32" t="s">
        <v>7</v>
      </c>
      <c r="O214" s="33">
        <v>1</v>
      </c>
      <c r="P214" s="31"/>
    </row>
    <row r="215" spans="1:17" s="24" customFormat="1" ht="13.25" customHeight="1" x14ac:dyDescent="0.15">
      <c r="B215" s="13" t="s">
        <v>94</v>
      </c>
      <c r="C215" s="36">
        <v>70514</v>
      </c>
      <c r="D215" s="37">
        <v>5</v>
      </c>
      <c r="E215" s="37">
        <v>13</v>
      </c>
      <c r="F215" s="40">
        <v>62.25</v>
      </c>
      <c r="G215" s="40">
        <v>61.15</v>
      </c>
      <c r="H215" s="38">
        <v>2.262</v>
      </c>
      <c r="I215" s="31">
        <v>22.25</v>
      </c>
      <c r="J215" s="31">
        <v>22.23</v>
      </c>
      <c r="K215" s="39">
        <v>2</v>
      </c>
      <c r="L215" s="31" t="s">
        <v>7</v>
      </c>
      <c r="M215" s="31" t="s">
        <v>6</v>
      </c>
      <c r="N215" s="32" t="s">
        <v>7</v>
      </c>
      <c r="O215" s="33">
        <v>1</v>
      </c>
      <c r="P215" s="31"/>
    </row>
    <row r="216" spans="1:17" s="24" customFormat="1" ht="13.25" customHeight="1" x14ac:dyDescent="0.15">
      <c r="A216" s="24">
        <v>42</v>
      </c>
      <c r="B216" s="13" t="s">
        <v>268</v>
      </c>
      <c r="C216" s="36">
        <v>150410</v>
      </c>
      <c r="D216" s="37">
        <v>1</v>
      </c>
      <c r="E216" s="37">
        <v>3</v>
      </c>
      <c r="F216" s="40">
        <v>160</v>
      </c>
      <c r="G216" s="40"/>
      <c r="H216" s="38"/>
      <c r="I216" s="31">
        <v>2</v>
      </c>
      <c r="J216" s="31"/>
      <c r="K216" s="39">
        <v>6.5</v>
      </c>
      <c r="L216" s="31" t="s">
        <v>6</v>
      </c>
      <c r="M216" s="31" t="s">
        <v>6</v>
      </c>
      <c r="N216" s="32" t="s">
        <v>6</v>
      </c>
      <c r="O216" s="33">
        <v>1</v>
      </c>
      <c r="P216" s="31"/>
      <c r="Q216" s="24" t="s">
        <v>280</v>
      </c>
    </row>
    <row r="217" spans="1:17" s="24" customFormat="1" ht="13.25" customHeight="1" x14ac:dyDescent="0.15">
      <c r="B217" s="13" t="s">
        <v>269</v>
      </c>
      <c r="C217" s="36">
        <v>131200</v>
      </c>
      <c r="D217" s="37"/>
      <c r="E217" s="37"/>
      <c r="F217" s="40">
        <v>98.6</v>
      </c>
      <c r="G217" s="40"/>
      <c r="H217" s="38"/>
      <c r="I217" s="31">
        <v>1.3</v>
      </c>
      <c r="J217" s="31"/>
      <c r="K217" s="39">
        <v>7</v>
      </c>
      <c r="L217" s="31" t="s">
        <v>6</v>
      </c>
      <c r="M217" s="31"/>
      <c r="N217" s="32"/>
      <c r="O217" s="33"/>
      <c r="P217" s="31"/>
      <c r="Q217" s="24" t="s">
        <v>281</v>
      </c>
    </row>
    <row r="218" spans="1:17" s="24" customFormat="1" ht="13.25" customHeight="1" x14ac:dyDescent="0.15">
      <c r="A218" s="24">
        <v>43</v>
      </c>
      <c r="B218" s="13" t="s">
        <v>269</v>
      </c>
      <c r="C218" s="36">
        <v>130415</v>
      </c>
      <c r="D218" s="37">
        <v>1</v>
      </c>
      <c r="E218" s="37">
        <v>4</v>
      </c>
      <c r="F218" s="40">
        <v>91.2</v>
      </c>
      <c r="G218" s="40">
        <v>83.4</v>
      </c>
      <c r="H218" s="38"/>
      <c r="I218" s="31" t="s">
        <v>284</v>
      </c>
      <c r="J218" s="31" t="s">
        <v>282</v>
      </c>
      <c r="K218" s="39">
        <v>7</v>
      </c>
      <c r="L218" s="31" t="s">
        <v>6</v>
      </c>
      <c r="M218" s="31" t="s">
        <v>6</v>
      </c>
      <c r="N218" s="32" t="s">
        <v>6</v>
      </c>
      <c r="O218" s="33">
        <v>1</v>
      </c>
      <c r="P218" s="31"/>
      <c r="Q218" s="24" t="s">
        <v>283</v>
      </c>
    </row>
    <row r="219" spans="1:17" s="24" customFormat="1" ht="13.25" customHeight="1" x14ac:dyDescent="0.15">
      <c r="A219" s="24">
        <v>44</v>
      </c>
      <c r="B219" s="13" t="s">
        <v>274</v>
      </c>
      <c r="C219" s="36">
        <v>260993</v>
      </c>
      <c r="D219" s="37"/>
      <c r="E219" s="37" t="s">
        <v>7</v>
      </c>
      <c r="F219" s="37" t="s">
        <v>7</v>
      </c>
      <c r="G219" s="37" t="s">
        <v>7</v>
      </c>
      <c r="H219" s="38"/>
      <c r="I219" s="37" t="s">
        <v>7</v>
      </c>
      <c r="J219" s="37" t="s">
        <v>7</v>
      </c>
      <c r="K219" s="39" t="s">
        <v>7</v>
      </c>
      <c r="L219" s="37" t="s">
        <v>7</v>
      </c>
      <c r="M219" s="37" t="s">
        <v>7</v>
      </c>
      <c r="N219" s="32"/>
      <c r="O219" s="33">
        <v>1</v>
      </c>
      <c r="P219" s="31"/>
    </row>
    <row r="220" spans="1:17" s="24" customFormat="1" ht="13.25" customHeight="1" x14ac:dyDescent="0.15">
      <c r="B220" s="13" t="s">
        <v>274</v>
      </c>
      <c r="C220" s="36">
        <v>241098</v>
      </c>
      <c r="D220" s="37"/>
      <c r="E220" s="37" t="s">
        <v>7</v>
      </c>
      <c r="F220" s="37" t="s">
        <v>7</v>
      </c>
      <c r="G220" s="37" t="s">
        <v>7</v>
      </c>
      <c r="H220" s="38"/>
      <c r="I220" s="37" t="s">
        <v>7</v>
      </c>
      <c r="J220" s="37" t="s">
        <v>7</v>
      </c>
      <c r="K220" s="39" t="s">
        <v>7</v>
      </c>
      <c r="L220" s="37" t="s">
        <v>7</v>
      </c>
      <c r="M220" s="37" t="s">
        <v>7</v>
      </c>
      <c r="N220" s="32"/>
      <c r="O220" s="33">
        <v>1</v>
      </c>
      <c r="P220" s="31"/>
      <c r="Q220" s="24" t="s">
        <v>286</v>
      </c>
    </row>
    <row r="221" spans="1:17" s="24" customFormat="1" ht="13.25" customHeight="1" x14ac:dyDescent="0.15">
      <c r="B221" s="13" t="s">
        <v>285</v>
      </c>
      <c r="C221" s="36">
        <v>181003</v>
      </c>
      <c r="D221" s="37"/>
      <c r="E221" s="37" t="s">
        <v>7</v>
      </c>
      <c r="F221" s="37" t="s">
        <v>7</v>
      </c>
      <c r="G221" s="37" t="s">
        <v>7</v>
      </c>
      <c r="H221" s="38"/>
      <c r="I221" s="37" t="s">
        <v>7</v>
      </c>
      <c r="J221" s="37" t="s">
        <v>7</v>
      </c>
      <c r="K221" s="39">
        <v>5.5</v>
      </c>
      <c r="L221" s="37" t="s">
        <v>7</v>
      </c>
      <c r="M221" s="37" t="s">
        <v>7</v>
      </c>
      <c r="N221" s="32"/>
      <c r="O221" s="33">
        <v>1</v>
      </c>
      <c r="P221" s="31"/>
    </row>
    <row r="222" spans="1:17" s="24" customFormat="1" ht="13.25" customHeight="1" x14ac:dyDescent="0.15">
      <c r="B222" s="13" t="s">
        <v>274</v>
      </c>
      <c r="C222" s="36">
        <v>190908</v>
      </c>
      <c r="D222" s="37"/>
      <c r="E222" s="37" t="s">
        <v>7</v>
      </c>
      <c r="F222" s="37" t="s">
        <v>7</v>
      </c>
      <c r="G222" s="37" t="s">
        <v>7</v>
      </c>
      <c r="H222" s="38"/>
      <c r="I222" s="37" t="s">
        <v>7</v>
      </c>
      <c r="J222" s="37" t="s">
        <v>7</v>
      </c>
      <c r="K222" s="39">
        <v>6</v>
      </c>
      <c r="L222" s="37" t="s">
        <v>7</v>
      </c>
      <c r="M222" s="37" t="s">
        <v>7</v>
      </c>
      <c r="N222" s="32"/>
      <c r="O222" s="33">
        <v>1</v>
      </c>
      <c r="P222" s="31"/>
    </row>
    <row r="223" spans="1:17" s="24" customFormat="1" ht="13.25" customHeight="1" x14ac:dyDescent="0.15">
      <c r="B223" s="13" t="s">
        <v>274</v>
      </c>
      <c r="C223" s="36">
        <v>200913</v>
      </c>
      <c r="D223" s="37"/>
      <c r="E223" s="37" t="s">
        <v>7</v>
      </c>
      <c r="F223" s="37" t="s">
        <v>7</v>
      </c>
      <c r="G223" s="37" t="s">
        <v>7</v>
      </c>
      <c r="H223" s="38"/>
      <c r="I223" s="37" t="s">
        <v>7</v>
      </c>
      <c r="J223" s="37" t="s">
        <v>7</v>
      </c>
      <c r="K223" s="39">
        <v>6</v>
      </c>
      <c r="L223" s="37" t="s">
        <v>7</v>
      </c>
      <c r="M223" s="37" t="s">
        <v>7</v>
      </c>
      <c r="N223" s="32"/>
      <c r="O223" s="33">
        <v>1</v>
      </c>
      <c r="P223" s="31"/>
    </row>
    <row r="224" spans="1:17" s="24" customFormat="1" ht="13.25" customHeight="1" x14ac:dyDescent="0.15">
      <c r="A224" s="24">
        <v>45</v>
      </c>
      <c r="B224" s="13" t="s">
        <v>187</v>
      </c>
      <c r="C224" s="36">
        <v>191195</v>
      </c>
      <c r="D224" s="37">
        <v>1</v>
      </c>
      <c r="E224" s="37">
        <v>5</v>
      </c>
      <c r="F224" s="40">
        <v>79.599999999999994</v>
      </c>
      <c r="G224" s="25">
        <v>59.2</v>
      </c>
      <c r="H224" s="38">
        <v>1.5389999999999999</v>
      </c>
      <c r="I224" s="31">
        <v>7.0631970260223049</v>
      </c>
      <c r="J224" s="31">
        <v>21.83</v>
      </c>
      <c r="K224" s="39">
        <v>5</v>
      </c>
      <c r="L224" s="31" t="s">
        <v>6</v>
      </c>
      <c r="M224" s="31" t="s">
        <v>7</v>
      </c>
      <c r="N224" s="32" t="s">
        <v>6</v>
      </c>
      <c r="O224" s="33">
        <v>0</v>
      </c>
      <c r="P224" s="31"/>
    </row>
    <row r="225" spans="1:17" s="24" customFormat="1" ht="13.25" customHeight="1" x14ac:dyDescent="0.15">
      <c r="B225" s="13" t="s">
        <v>95</v>
      </c>
      <c r="C225" s="36">
        <v>291000</v>
      </c>
      <c r="D225" s="37">
        <v>2</v>
      </c>
      <c r="E225" s="37">
        <v>5</v>
      </c>
      <c r="F225" s="40">
        <v>90.1</v>
      </c>
      <c r="G225" s="40">
        <v>65.19</v>
      </c>
      <c r="H225" s="38">
        <v>1.21</v>
      </c>
      <c r="I225" s="31">
        <v>7.4576271186440675</v>
      </c>
      <c r="J225" s="31">
        <v>12.54</v>
      </c>
      <c r="K225" s="39">
        <v>4</v>
      </c>
      <c r="L225" s="31" t="s">
        <v>6</v>
      </c>
      <c r="M225" s="31" t="s">
        <v>6</v>
      </c>
      <c r="N225" s="32" t="s">
        <v>6</v>
      </c>
      <c r="O225" s="33">
        <v>0</v>
      </c>
      <c r="P225" s="31"/>
    </row>
    <row r="226" spans="1:17" s="24" customFormat="1" ht="13.25" customHeight="1" x14ac:dyDescent="0.15">
      <c r="B226" s="13" t="s">
        <v>95</v>
      </c>
      <c r="C226" s="36">
        <v>141205</v>
      </c>
      <c r="D226" s="37">
        <v>3</v>
      </c>
      <c r="E226" s="37">
        <v>5</v>
      </c>
      <c r="F226" s="40">
        <f>275/3.23</f>
        <v>85.139318885448915</v>
      </c>
      <c r="G226" s="40">
        <v>70</v>
      </c>
      <c r="H226" s="38">
        <v>1.36</v>
      </c>
      <c r="I226" s="31">
        <v>9.5975232198142422</v>
      </c>
      <c r="J226" s="31">
        <v>14.3</v>
      </c>
      <c r="K226" s="39">
        <v>3.5</v>
      </c>
      <c r="L226" s="31" t="s">
        <v>6</v>
      </c>
      <c r="M226" s="31" t="s">
        <v>6</v>
      </c>
      <c r="N226" s="32" t="s">
        <v>6</v>
      </c>
      <c r="O226" s="33">
        <v>0</v>
      </c>
      <c r="P226" s="31"/>
    </row>
    <row r="227" spans="1:17" s="24" customFormat="1" ht="13.25" customHeight="1" x14ac:dyDescent="0.15">
      <c r="B227" s="13" t="s">
        <v>38</v>
      </c>
      <c r="C227" s="36">
        <v>211010</v>
      </c>
      <c r="D227" s="37">
        <v>4</v>
      </c>
      <c r="E227" s="37">
        <v>6</v>
      </c>
      <c r="F227" s="40">
        <f>187/3.17</f>
        <v>58.990536277602523</v>
      </c>
      <c r="G227" s="40">
        <v>60.2</v>
      </c>
      <c r="H227" s="38">
        <v>1.7330000000000001</v>
      </c>
      <c r="I227" s="31">
        <v>13.71</v>
      </c>
      <c r="J227" s="31">
        <v>23.9</v>
      </c>
      <c r="K227" s="39">
        <v>3.5</v>
      </c>
      <c r="L227" s="31" t="s">
        <v>6</v>
      </c>
      <c r="M227" s="31" t="s">
        <v>6</v>
      </c>
      <c r="N227" s="32" t="s">
        <v>6</v>
      </c>
      <c r="O227" s="33">
        <v>0</v>
      </c>
      <c r="P227" s="31" t="s">
        <v>188</v>
      </c>
    </row>
    <row r="228" spans="1:17" s="24" customFormat="1" ht="13.25" customHeight="1" x14ac:dyDescent="0.15">
      <c r="B228" s="13" t="s">
        <v>95</v>
      </c>
      <c r="C228" s="36">
        <v>151015</v>
      </c>
      <c r="D228" s="37">
        <v>5</v>
      </c>
      <c r="E228" s="37">
        <v>5</v>
      </c>
      <c r="F228" s="40">
        <v>70.86</v>
      </c>
      <c r="G228" s="40">
        <v>55.04</v>
      </c>
      <c r="H228" s="38"/>
      <c r="I228" s="31">
        <v>19.600000000000001</v>
      </c>
      <c r="J228" s="31">
        <v>31.75</v>
      </c>
      <c r="K228" s="39">
        <v>3</v>
      </c>
      <c r="L228" s="31" t="s">
        <v>9</v>
      </c>
      <c r="M228" s="31" t="s">
        <v>6</v>
      </c>
      <c r="N228" s="32" t="s">
        <v>6</v>
      </c>
      <c r="O228" s="33">
        <v>0</v>
      </c>
      <c r="P228" s="31"/>
    </row>
    <row r="229" spans="1:17" s="24" customFormat="1" ht="13.25" customHeight="1" x14ac:dyDescent="0.15">
      <c r="A229" s="24">
        <v>46</v>
      </c>
      <c r="B229" s="13" t="s">
        <v>186</v>
      </c>
      <c r="C229" s="36">
        <v>60294</v>
      </c>
      <c r="D229" s="37">
        <v>1</v>
      </c>
      <c r="E229" s="37">
        <v>5</v>
      </c>
      <c r="F229" s="40">
        <v>43.2</v>
      </c>
      <c r="G229" s="25" t="s">
        <v>7</v>
      </c>
      <c r="H229" s="38">
        <v>2.6709999999999998</v>
      </c>
      <c r="I229" s="31">
        <v>43.209876543209873</v>
      </c>
      <c r="J229" s="31" t="s">
        <v>7</v>
      </c>
      <c r="K229" s="39">
        <v>5.5</v>
      </c>
      <c r="L229" s="31" t="s">
        <v>9</v>
      </c>
      <c r="M229" s="31" t="s">
        <v>9</v>
      </c>
      <c r="N229" s="32" t="s">
        <v>9</v>
      </c>
      <c r="O229" s="33">
        <v>0</v>
      </c>
      <c r="P229" s="31"/>
    </row>
    <row r="230" spans="1:17" s="24" customFormat="1" ht="13.25" customHeight="1" x14ac:dyDescent="0.15">
      <c r="B230" s="13" t="s">
        <v>96</v>
      </c>
      <c r="C230" s="36">
        <v>210399</v>
      </c>
      <c r="D230" s="37">
        <v>2</v>
      </c>
      <c r="E230" s="37">
        <v>1</v>
      </c>
      <c r="F230" s="40">
        <v>97.5</v>
      </c>
      <c r="G230" s="25" t="s">
        <v>7</v>
      </c>
      <c r="H230" s="38">
        <v>1.05</v>
      </c>
      <c r="I230" s="31" t="s">
        <v>19</v>
      </c>
      <c r="J230" s="31" t="s">
        <v>7</v>
      </c>
      <c r="K230" s="39">
        <v>5</v>
      </c>
      <c r="L230" s="31" t="s">
        <v>6</v>
      </c>
      <c r="M230" s="31" t="s">
        <v>9</v>
      </c>
      <c r="N230" s="32" t="s">
        <v>9</v>
      </c>
      <c r="O230" s="33">
        <v>0</v>
      </c>
      <c r="P230" s="31" t="s">
        <v>266</v>
      </c>
    </row>
    <row r="231" spans="1:17" s="24" customFormat="1" ht="13.25" customHeight="1" x14ac:dyDescent="0.15">
      <c r="B231" s="13" t="s">
        <v>96</v>
      </c>
      <c r="C231" s="36">
        <v>271002</v>
      </c>
      <c r="D231" s="37">
        <v>3</v>
      </c>
      <c r="E231" s="37">
        <v>5</v>
      </c>
      <c r="F231" s="40">
        <v>88.888999999999996</v>
      </c>
      <c r="G231" s="25" t="s">
        <v>7</v>
      </c>
      <c r="H231" s="38">
        <v>1.2610033</v>
      </c>
      <c r="I231" s="31">
        <v>3.7037037037037037</v>
      </c>
      <c r="J231" s="31" t="s">
        <v>7</v>
      </c>
      <c r="K231" s="39">
        <v>5.5</v>
      </c>
      <c r="L231" s="31" t="s">
        <v>6</v>
      </c>
      <c r="M231" s="31" t="s">
        <v>6</v>
      </c>
      <c r="N231" s="32" t="s">
        <v>9</v>
      </c>
      <c r="O231" s="33">
        <v>0</v>
      </c>
      <c r="P231" s="31"/>
    </row>
    <row r="232" spans="1:17" s="24" customFormat="1" ht="13.25" customHeight="1" x14ac:dyDescent="0.15">
      <c r="B232" s="13" t="s">
        <v>96</v>
      </c>
      <c r="C232" s="36">
        <v>50807</v>
      </c>
      <c r="D232" s="37">
        <v>4</v>
      </c>
      <c r="E232" s="37">
        <v>3</v>
      </c>
      <c r="F232" s="40">
        <v>61.728395061728399</v>
      </c>
      <c r="G232" s="40">
        <f>922636/23441.08</f>
        <v>39.359790589853368</v>
      </c>
      <c r="H232" s="38">
        <v>2.02</v>
      </c>
      <c r="I232" s="31">
        <f>27/0.81</f>
        <v>33.333333333333329</v>
      </c>
      <c r="J232" s="31">
        <v>37.01</v>
      </c>
      <c r="K232" s="39">
        <v>5.5</v>
      </c>
      <c r="L232" s="31" t="s">
        <v>6</v>
      </c>
      <c r="M232" s="31" t="s">
        <v>6</v>
      </c>
      <c r="N232" s="32" t="s">
        <v>9</v>
      </c>
      <c r="O232" s="33">
        <v>0</v>
      </c>
      <c r="P232" s="31"/>
    </row>
    <row r="233" spans="1:17" s="24" customFormat="1" ht="13.25" customHeight="1" x14ac:dyDescent="0.15">
      <c r="B233" s="13" t="s">
        <v>96</v>
      </c>
      <c r="C233" s="36">
        <v>250713</v>
      </c>
      <c r="D233" s="37">
        <v>5</v>
      </c>
      <c r="E233" s="37">
        <v>4</v>
      </c>
      <c r="F233" s="40">
        <v>68.13</v>
      </c>
      <c r="G233" s="40">
        <v>46.7</v>
      </c>
      <c r="H233" s="38">
        <v>1.948</v>
      </c>
      <c r="I233" s="31">
        <v>20.9</v>
      </c>
      <c r="J233" s="31">
        <v>28.9</v>
      </c>
      <c r="K233" s="39">
        <v>4</v>
      </c>
      <c r="L233" s="31" t="s">
        <v>224</v>
      </c>
      <c r="M233" s="31" t="s">
        <v>224</v>
      </c>
      <c r="N233" s="32" t="s">
        <v>9</v>
      </c>
      <c r="O233" s="33">
        <v>0</v>
      </c>
      <c r="P233" s="31"/>
      <c r="Q233" s="24" t="s">
        <v>306</v>
      </c>
    </row>
    <row r="234" spans="1:17" s="24" customFormat="1" ht="13.25" customHeight="1" x14ac:dyDescent="0.15">
      <c r="A234" s="24">
        <v>47</v>
      </c>
      <c r="B234" s="13" t="s">
        <v>275</v>
      </c>
      <c r="C234" s="36">
        <v>200216</v>
      </c>
      <c r="D234" s="37">
        <v>2</v>
      </c>
      <c r="E234" s="37">
        <v>7</v>
      </c>
      <c r="F234" s="40">
        <v>68.86</v>
      </c>
      <c r="G234" s="40"/>
      <c r="H234" s="38"/>
      <c r="I234" s="31">
        <v>10.029999999999999</v>
      </c>
      <c r="J234" s="31"/>
      <c r="K234" s="39">
        <v>5.5</v>
      </c>
      <c r="L234" s="31" t="s">
        <v>6</v>
      </c>
      <c r="M234" s="31" t="s">
        <v>6</v>
      </c>
      <c r="N234" s="32"/>
      <c r="O234" s="33"/>
      <c r="P234" s="31"/>
    </row>
    <row r="235" spans="1:17" s="24" customFormat="1" ht="13.25" customHeight="1" x14ac:dyDescent="0.15">
      <c r="A235" s="24">
        <v>47</v>
      </c>
      <c r="B235" s="13" t="s">
        <v>275</v>
      </c>
      <c r="C235" s="36">
        <v>270696</v>
      </c>
      <c r="D235" s="37"/>
      <c r="E235" s="37">
        <v>1</v>
      </c>
      <c r="F235" s="40">
        <v>56.52</v>
      </c>
      <c r="G235" s="40" t="s">
        <v>7</v>
      </c>
      <c r="H235" s="38"/>
      <c r="I235" s="31" t="s">
        <v>7</v>
      </c>
      <c r="J235" s="31" t="s">
        <v>7</v>
      </c>
      <c r="K235" s="39" t="s">
        <v>7</v>
      </c>
      <c r="L235" s="31" t="s">
        <v>6</v>
      </c>
      <c r="M235" s="31" t="s">
        <v>6</v>
      </c>
      <c r="N235" s="32" t="s">
        <v>6</v>
      </c>
      <c r="O235" s="33">
        <v>0</v>
      </c>
      <c r="P235" s="31"/>
      <c r="Q235" s="24" t="s">
        <v>296</v>
      </c>
    </row>
    <row r="236" spans="1:17" s="24" customFormat="1" ht="13.25" customHeight="1" x14ac:dyDescent="0.15">
      <c r="B236" s="13" t="s">
        <v>275</v>
      </c>
      <c r="C236" s="36">
        <v>260601</v>
      </c>
      <c r="D236" s="37"/>
      <c r="E236" s="37" t="s">
        <v>7</v>
      </c>
      <c r="F236" s="37" t="s">
        <v>7</v>
      </c>
      <c r="G236" s="37" t="s">
        <v>7</v>
      </c>
      <c r="H236" s="37"/>
      <c r="I236" s="37" t="s">
        <v>7</v>
      </c>
      <c r="J236" s="37" t="s">
        <v>7</v>
      </c>
      <c r="K236" s="39">
        <v>5.5</v>
      </c>
      <c r="L236" s="37" t="s">
        <v>7</v>
      </c>
      <c r="M236" s="37" t="s">
        <v>6</v>
      </c>
      <c r="N236" s="37" t="s">
        <v>6</v>
      </c>
      <c r="O236" s="33">
        <v>0</v>
      </c>
      <c r="P236" s="31"/>
      <c r="Q236" s="24" t="s">
        <v>295</v>
      </c>
    </row>
    <row r="237" spans="1:17" s="24" customFormat="1" ht="13.25" customHeight="1" x14ac:dyDescent="0.15">
      <c r="B237" s="13" t="s">
        <v>275</v>
      </c>
      <c r="C237" s="36">
        <v>230206</v>
      </c>
      <c r="D237" s="37"/>
      <c r="E237" s="37">
        <v>7</v>
      </c>
      <c r="F237" s="40">
        <v>67.25</v>
      </c>
      <c r="G237" s="40" t="s">
        <v>7</v>
      </c>
      <c r="H237" s="38"/>
      <c r="I237" s="31">
        <v>13.02</v>
      </c>
      <c r="J237" s="31" t="s">
        <v>7</v>
      </c>
      <c r="K237" s="39">
        <v>4.5</v>
      </c>
      <c r="L237" s="31" t="s">
        <v>6</v>
      </c>
      <c r="M237" s="31" t="s">
        <v>6</v>
      </c>
      <c r="N237" s="32" t="s">
        <v>6</v>
      </c>
      <c r="O237" s="33">
        <v>0</v>
      </c>
      <c r="P237" s="31"/>
    </row>
    <row r="238" spans="1:17" s="24" customFormat="1" ht="13.25" customHeight="1" x14ac:dyDescent="0.15">
      <c r="B238" s="13" t="s">
        <v>275</v>
      </c>
      <c r="C238" s="36">
        <v>180211</v>
      </c>
      <c r="D238" s="37"/>
      <c r="E238" s="37">
        <v>5</v>
      </c>
      <c r="F238" s="40">
        <v>84.03</v>
      </c>
      <c r="G238" s="40" t="s">
        <v>7</v>
      </c>
      <c r="H238" s="38"/>
      <c r="I238" s="31">
        <v>10.24</v>
      </c>
      <c r="J238" s="31" t="s">
        <v>7</v>
      </c>
      <c r="K238" s="39">
        <v>4.5</v>
      </c>
      <c r="L238" s="31" t="s">
        <v>6</v>
      </c>
      <c r="M238" s="31" t="s">
        <v>6</v>
      </c>
      <c r="N238" s="32" t="s">
        <v>6</v>
      </c>
      <c r="O238" s="33">
        <v>0</v>
      </c>
      <c r="P238" s="31"/>
    </row>
    <row r="239" spans="1:17" s="24" customFormat="1" ht="13.25" customHeight="1" x14ac:dyDescent="0.15">
      <c r="A239" s="24">
        <v>48</v>
      </c>
      <c r="B239" s="13" t="s">
        <v>184</v>
      </c>
      <c r="C239" s="36">
        <v>311091</v>
      </c>
      <c r="D239" s="37">
        <v>1</v>
      </c>
      <c r="E239" s="37">
        <v>2</v>
      </c>
      <c r="F239" s="40">
        <v>83.3</v>
      </c>
      <c r="G239" s="25">
        <v>74.12</v>
      </c>
      <c r="H239" s="38">
        <v>1.385</v>
      </c>
      <c r="I239" s="31">
        <v>16.666666666666668</v>
      </c>
      <c r="J239" s="31"/>
      <c r="K239" s="39">
        <v>2.5</v>
      </c>
      <c r="L239" s="31" t="s">
        <v>6</v>
      </c>
      <c r="M239" s="31" t="s">
        <v>9</v>
      </c>
      <c r="N239" s="32" t="s">
        <v>6</v>
      </c>
      <c r="O239" s="33">
        <v>0</v>
      </c>
      <c r="P239" s="31" t="s">
        <v>185</v>
      </c>
    </row>
    <row r="240" spans="1:17" s="24" customFormat="1" ht="13.25" customHeight="1" x14ac:dyDescent="0.15">
      <c r="B240" s="13" t="s">
        <v>97</v>
      </c>
      <c r="C240" s="36">
        <v>181196</v>
      </c>
      <c r="D240" s="37">
        <v>2</v>
      </c>
      <c r="E240" s="37">
        <v>4</v>
      </c>
      <c r="F240" s="44">
        <v>87.3</v>
      </c>
      <c r="G240" s="44">
        <v>61</v>
      </c>
      <c r="H240" s="38">
        <v>1.3089999999999999</v>
      </c>
      <c r="I240" s="31">
        <v>3.3333333333333335</v>
      </c>
      <c r="J240" s="31">
        <v>7.2</v>
      </c>
      <c r="K240" s="39">
        <v>4.5</v>
      </c>
      <c r="L240" s="31" t="s">
        <v>6</v>
      </c>
      <c r="M240" s="31" t="s">
        <v>6</v>
      </c>
      <c r="N240" s="32" t="s">
        <v>6</v>
      </c>
      <c r="O240" s="33">
        <v>0</v>
      </c>
      <c r="P240" s="31" t="s">
        <v>20</v>
      </c>
    </row>
    <row r="241" spans="1:17" s="24" customFormat="1" ht="13.25" customHeight="1" x14ac:dyDescent="0.15">
      <c r="B241" s="13" t="s">
        <v>97</v>
      </c>
      <c r="C241" s="36">
        <v>271201</v>
      </c>
      <c r="D241" s="37">
        <v>3</v>
      </c>
      <c r="E241" s="37">
        <v>7</v>
      </c>
      <c r="F241" s="44">
        <v>46</v>
      </c>
      <c r="G241" s="44">
        <v>45.9</v>
      </c>
      <c r="H241" s="38">
        <v>3.0025772000000002</v>
      </c>
      <c r="I241" s="31">
        <v>32.666666666666664</v>
      </c>
      <c r="J241" s="31">
        <v>23.77</v>
      </c>
      <c r="K241" s="39">
        <v>4.5</v>
      </c>
      <c r="L241" s="31" t="s">
        <v>6</v>
      </c>
      <c r="M241" s="31" t="s">
        <v>6</v>
      </c>
      <c r="N241" s="32" t="s">
        <v>6</v>
      </c>
      <c r="O241" s="33">
        <v>0</v>
      </c>
      <c r="P241" s="31"/>
    </row>
    <row r="242" spans="1:17" s="24" customFormat="1" ht="13.25" customHeight="1" x14ac:dyDescent="0.15">
      <c r="B242" s="13" t="s">
        <v>97</v>
      </c>
      <c r="C242" s="36">
        <v>280906</v>
      </c>
      <c r="D242" s="37">
        <v>4</v>
      </c>
      <c r="E242" s="37">
        <v>5</v>
      </c>
      <c r="F242" s="44">
        <f>74/1.5</f>
        <v>49.333333333333336</v>
      </c>
      <c r="G242" s="44">
        <v>38.54</v>
      </c>
      <c r="H242" s="38">
        <v>2.762</v>
      </c>
      <c r="I242" s="31">
        <v>29.333333333333332</v>
      </c>
      <c r="J242" s="31">
        <v>22.95</v>
      </c>
      <c r="K242" s="39">
        <v>3.5</v>
      </c>
      <c r="L242" s="31" t="s">
        <v>6</v>
      </c>
      <c r="M242" s="31" t="s">
        <v>6</v>
      </c>
      <c r="N242" s="32" t="s">
        <v>6</v>
      </c>
      <c r="O242" s="33">
        <v>0</v>
      </c>
      <c r="P242" s="31"/>
    </row>
    <row r="243" spans="1:17" s="32" customFormat="1" ht="13.25" customHeight="1" x14ac:dyDescent="0.15">
      <c r="B243" s="25" t="s">
        <v>97</v>
      </c>
      <c r="C243" s="36">
        <v>220911</v>
      </c>
      <c r="D243" s="37">
        <v>5</v>
      </c>
      <c r="E243" s="37">
        <v>5</v>
      </c>
      <c r="F243" s="25">
        <f>74/1.58</f>
        <v>46.835443037974684</v>
      </c>
      <c r="G243" s="25">
        <f>1028793 /26895.4</f>
        <v>38.251634108434899</v>
      </c>
      <c r="H243" s="25">
        <v>2.96</v>
      </c>
      <c r="I243" s="32">
        <f>43/1.58</f>
        <v>27.215189873417721</v>
      </c>
      <c r="J243" s="25">
        <f>902619/26895.4</f>
        <v>33.560348609799441</v>
      </c>
      <c r="K243" s="39">
        <v>3.5</v>
      </c>
      <c r="L243" s="32" t="s">
        <v>6</v>
      </c>
      <c r="M243" s="32" t="s">
        <v>6</v>
      </c>
      <c r="N243" s="32" t="s">
        <v>6</v>
      </c>
      <c r="O243" s="33">
        <v>0</v>
      </c>
    </row>
    <row r="244" spans="1:17" s="24" customFormat="1" ht="13.25" customHeight="1" x14ac:dyDescent="0.15">
      <c r="A244" s="24">
        <v>49</v>
      </c>
      <c r="B244" s="13" t="s">
        <v>183</v>
      </c>
      <c r="C244" s="36">
        <v>280390</v>
      </c>
      <c r="D244" s="37">
        <v>1</v>
      </c>
      <c r="E244" s="37">
        <v>2</v>
      </c>
      <c r="F244" s="40">
        <v>97.5</v>
      </c>
      <c r="G244" s="25">
        <v>80.5</v>
      </c>
      <c r="H244" s="38">
        <v>1.052</v>
      </c>
      <c r="I244" s="31">
        <v>1.6666666666666667</v>
      </c>
      <c r="J244" s="31">
        <v>17.59</v>
      </c>
      <c r="K244" s="39">
        <v>5</v>
      </c>
      <c r="L244" s="31" t="s">
        <v>6</v>
      </c>
      <c r="M244" s="31" t="s">
        <v>6</v>
      </c>
      <c r="N244" s="32" t="s">
        <v>9</v>
      </c>
      <c r="O244" s="33">
        <v>0</v>
      </c>
      <c r="P244" s="31"/>
    </row>
    <row r="245" spans="1:17" s="24" customFormat="1" ht="13.25" customHeight="1" x14ac:dyDescent="0.15">
      <c r="B245" s="13" t="s">
        <v>183</v>
      </c>
      <c r="C245" s="36">
        <v>90495</v>
      </c>
      <c r="D245" s="37">
        <v>2</v>
      </c>
      <c r="E245" s="37">
        <v>2</v>
      </c>
      <c r="F245" s="44">
        <v>98.33</v>
      </c>
      <c r="G245" s="44">
        <v>81.400000000000006</v>
      </c>
      <c r="H245" s="38">
        <v>1.0349999999999999</v>
      </c>
      <c r="I245" s="31">
        <v>1.6666666666666667</v>
      </c>
      <c r="J245" s="31">
        <v>6.94</v>
      </c>
      <c r="K245" s="39">
        <v>5</v>
      </c>
      <c r="L245" s="31" t="s">
        <v>6</v>
      </c>
      <c r="M245" s="31" t="s">
        <v>6</v>
      </c>
      <c r="N245" s="32" t="s">
        <v>9</v>
      </c>
      <c r="O245" s="33">
        <v>0</v>
      </c>
      <c r="P245" s="31"/>
    </row>
    <row r="246" spans="1:17" s="24" customFormat="1" ht="13.25" customHeight="1" x14ac:dyDescent="0.15">
      <c r="B246" s="13" t="s">
        <v>183</v>
      </c>
      <c r="C246" s="36">
        <v>250600</v>
      </c>
      <c r="D246" s="37">
        <v>3</v>
      </c>
      <c r="E246" s="37">
        <v>3</v>
      </c>
      <c r="F246" s="44">
        <v>61.3</v>
      </c>
      <c r="G246" s="44">
        <v>48.6</v>
      </c>
      <c r="H246" s="38">
        <v>1.92</v>
      </c>
      <c r="I246" s="31">
        <v>47.5</v>
      </c>
      <c r="J246" s="31">
        <v>47</v>
      </c>
      <c r="K246" s="39">
        <v>5.5</v>
      </c>
      <c r="L246" s="31" t="s">
        <v>6</v>
      </c>
      <c r="M246" s="31" t="s">
        <v>6</v>
      </c>
      <c r="N246" s="32" t="s">
        <v>9</v>
      </c>
      <c r="O246" s="33">
        <v>0</v>
      </c>
      <c r="P246" s="31"/>
    </row>
    <row r="247" spans="1:17" s="24" customFormat="1" ht="13.25" customHeight="1" x14ac:dyDescent="0.15">
      <c r="B247" s="13" t="s">
        <v>183</v>
      </c>
      <c r="C247" s="34">
        <v>310305</v>
      </c>
      <c r="D247" s="33">
        <v>4</v>
      </c>
      <c r="E247" s="33">
        <v>2</v>
      </c>
      <c r="F247" s="24">
        <f>78/1.2</f>
        <v>65</v>
      </c>
      <c r="G247" s="24">
        <v>59.59</v>
      </c>
      <c r="H247" s="38">
        <v>1.8540000000000001</v>
      </c>
      <c r="I247" s="31">
        <v>34.166666666666664</v>
      </c>
      <c r="J247" s="31">
        <v>39.520000000000003</v>
      </c>
      <c r="K247" s="31">
        <v>6.5</v>
      </c>
      <c r="L247" s="31" t="s">
        <v>6</v>
      </c>
      <c r="M247" s="31" t="s">
        <v>6</v>
      </c>
      <c r="N247" s="32" t="s">
        <v>9</v>
      </c>
      <c r="O247" s="33">
        <v>0</v>
      </c>
      <c r="P247" s="31"/>
    </row>
    <row r="248" spans="1:17" s="24" customFormat="1" ht="13.25" customHeight="1" x14ac:dyDescent="0.15">
      <c r="B248" s="13" t="s">
        <v>180</v>
      </c>
      <c r="C248" s="36">
        <v>261105</v>
      </c>
      <c r="D248" s="24">
        <v>4</v>
      </c>
      <c r="E248" s="37">
        <v>2</v>
      </c>
      <c r="F248" s="44">
        <f>43/0.66</f>
        <v>65.151515151515142</v>
      </c>
      <c r="G248" s="44">
        <v>73.709999999999994</v>
      </c>
      <c r="H248" s="38">
        <v>2.2519999999999998</v>
      </c>
      <c r="I248" s="31">
        <v>14</v>
      </c>
      <c r="J248" s="31">
        <v>20.260000000000002</v>
      </c>
      <c r="K248" s="31">
        <v>6.5</v>
      </c>
      <c r="L248" s="31" t="s">
        <v>6</v>
      </c>
      <c r="M248" s="31" t="s">
        <v>6</v>
      </c>
      <c r="N248" s="32" t="s">
        <v>9</v>
      </c>
      <c r="O248" s="33">
        <v>0</v>
      </c>
      <c r="P248" s="31"/>
    </row>
    <row r="249" spans="1:17" s="24" customFormat="1" ht="13.25" customHeight="1" x14ac:dyDescent="0.15">
      <c r="B249" s="13" t="s">
        <v>183</v>
      </c>
      <c r="C249" s="34">
        <v>290308</v>
      </c>
      <c r="D249" s="33">
        <v>5</v>
      </c>
      <c r="E249" s="33">
        <v>3</v>
      </c>
      <c r="F249" s="51">
        <f>100/2.14</f>
        <v>46.728971962616818</v>
      </c>
      <c r="G249" s="24">
        <f>1036696/24219.73</f>
        <v>42.80378022380927</v>
      </c>
      <c r="H249" s="38">
        <v>2.2160000000000002</v>
      </c>
      <c r="I249" s="31">
        <f>99/2.14</f>
        <v>46.261682242990652</v>
      </c>
      <c r="J249" s="31">
        <f>1110649/24219.73</f>
        <v>45.857199894466206</v>
      </c>
      <c r="K249" s="31">
        <v>6.5</v>
      </c>
      <c r="L249" s="31" t="s">
        <v>6</v>
      </c>
      <c r="M249" s="31" t="s">
        <v>6</v>
      </c>
      <c r="N249" s="32" t="s">
        <v>6</v>
      </c>
      <c r="O249" s="33">
        <v>0</v>
      </c>
      <c r="P249" s="31" t="s">
        <v>182</v>
      </c>
    </row>
    <row r="250" spans="1:17" s="24" customFormat="1" ht="13.25" customHeight="1" x14ac:dyDescent="0.15">
      <c r="B250" s="13" t="s">
        <v>180</v>
      </c>
      <c r="C250" s="34">
        <v>290308</v>
      </c>
      <c r="D250" s="33">
        <v>5</v>
      </c>
      <c r="E250" s="33">
        <v>3</v>
      </c>
      <c r="F250" s="47">
        <f>30/0.93</f>
        <v>32.258064516129032</v>
      </c>
      <c r="G250" s="24">
        <v>45.44</v>
      </c>
      <c r="H250" s="38">
        <v>2.1789999999999998</v>
      </c>
      <c r="I250" s="24">
        <f>24/0.93</f>
        <v>25.806451612903224</v>
      </c>
      <c r="J250" s="31">
        <v>42.71</v>
      </c>
      <c r="K250" s="31">
        <v>6.5</v>
      </c>
      <c r="L250" s="31" t="s">
        <v>6</v>
      </c>
      <c r="M250" s="31" t="s">
        <v>6</v>
      </c>
      <c r="N250" s="49" t="s">
        <v>6</v>
      </c>
      <c r="O250" s="50">
        <v>0</v>
      </c>
      <c r="P250" s="47" t="s">
        <v>181</v>
      </c>
    </row>
    <row r="251" spans="1:17" s="24" customFormat="1" ht="13.25" customHeight="1" x14ac:dyDescent="0.15">
      <c r="B251" s="13" t="s">
        <v>183</v>
      </c>
      <c r="C251" s="34">
        <v>310713</v>
      </c>
      <c r="D251" s="33">
        <v>6</v>
      </c>
      <c r="E251" s="33">
        <v>3</v>
      </c>
      <c r="F251" s="47">
        <v>72.959999999999994</v>
      </c>
      <c r="G251" s="24">
        <v>62.79</v>
      </c>
      <c r="H251" s="38">
        <v>1.6679999999999999</v>
      </c>
      <c r="I251" s="24">
        <v>25.93</v>
      </c>
      <c r="J251" s="31">
        <v>29.84</v>
      </c>
      <c r="K251" s="31">
        <v>6</v>
      </c>
      <c r="L251" s="31" t="s">
        <v>6</v>
      </c>
      <c r="M251" s="31" t="s">
        <v>6</v>
      </c>
      <c r="N251" s="49" t="s">
        <v>6</v>
      </c>
      <c r="O251" s="50">
        <v>0</v>
      </c>
      <c r="P251" s="47" t="s">
        <v>267</v>
      </c>
    </row>
    <row r="252" spans="1:17" s="24" customFormat="1" ht="13.25" customHeight="1" x14ac:dyDescent="0.15">
      <c r="B252" s="13" t="s">
        <v>180</v>
      </c>
      <c r="C252" s="34">
        <v>310713</v>
      </c>
      <c r="D252" s="33">
        <v>6</v>
      </c>
      <c r="E252" s="33">
        <v>3</v>
      </c>
      <c r="F252" s="47">
        <v>61.67</v>
      </c>
      <c r="G252" s="24">
        <v>62.79</v>
      </c>
      <c r="H252" s="38">
        <v>1.9850000000000001</v>
      </c>
      <c r="I252" s="24">
        <v>35</v>
      </c>
      <c r="J252" s="31">
        <v>29.84</v>
      </c>
      <c r="K252" s="31">
        <v>6</v>
      </c>
      <c r="L252" s="31" t="s">
        <v>6</v>
      </c>
      <c r="M252" s="31" t="s">
        <v>6</v>
      </c>
      <c r="N252" s="49" t="s">
        <v>6</v>
      </c>
      <c r="O252" s="50">
        <v>0</v>
      </c>
      <c r="P252" s="47"/>
      <c r="Q252" s="24" t="s">
        <v>307</v>
      </c>
    </row>
    <row r="253" spans="1:17" s="24" customFormat="1" ht="13.25" customHeight="1" x14ac:dyDescent="0.15">
      <c r="C253" s="34" t="s">
        <v>318</v>
      </c>
      <c r="D253" s="34"/>
      <c r="E253" s="33"/>
      <c r="H253" s="35"/>
      <c r="I253" s="35"/>
      <c r="J253" s="35"/>
      <c r="K253" s="32"/>
      <c r="L253" s="31"/>
      <c r="M253" s="31"/>
      <c r="N253" s="32"/>
      <c r="O253" s="33"/>
      <c r="P253" s="31"/>
    </row>
    <row r="254" spans="1:17" s="24" customFormat="1" ht="13.25" customHeight="1" x14ac:dyDescent="0.15">
      <c r="B254" s="13"/>
      <c r="C254" s="34" t="s">
        <v>0</v>
      </c>
      <c r="D254" s="34"/>
      <c r="E254" s="33"/>
      <c r="H254" s="35"/>
      <c r="I254" s="35"/>
      <c r="J254" s="35"/>
      <c r="K254" s="32"/>
      <c r="L254" s="31"/>
      <c r="M254" s="31"/>
      <c r="N254" s="32"/>
      <c r="O254" s="33"/>
      <c r="P254" s="31"/>
    </row>
    <row r="255" spans="1:17" s="57" customFormat="1" ht="13.25" customHeight="1" x14ac:dyDescent="0.15">
      <c r="B255" s="58"/>
      <c r="C255" s="59"/>
      <c r="D255" s="59"/>
      <c r="E255" s="60"/>
      <c r="F255" s="12"/>
      <c r="G255" s="12"/>
      <c r="H255" s="35"/>
      <c r="I255" s="35"/>
      <c r="J255" s="35"/>
      <c r="K255" s="61"/>
      <c r="L255" s="31"/>
      <c r="M255" s="31"/>
      <c r="N255" s="32"/>
      <c r="O255" s="33"/>
      <c r="P255" s="31"/>
    </row>
    <row r="256" spans="1:17" s="57" customFormat="1" ht="13.25" customHeight="1" x14ac:dyDescent="0.15">
      <c r="B256" s="58"/>
      <c r="C256" s="59"/>
      <c r="D256" s="59"/>
      <c r="E256" s="60"/>
      <c r="F256" s="12"/>
      <c r="G256" s="12"/>
      <c r="H256" s="35"/>
      <c r="I256" s="35"/>
      <c r="J256" s="35"/>
      <c r="K256" s="61"/>
      <c r="L256" s="31"/>
      <c r="M256" s="31"/>
      <c r="N256" s="32"/>
      <c r="O256" s="33"/>
      <c r="P256" s="31"/>
    </row>
    <row r="257" spans="2:7" ht="13.25" customHeight="1" x14ac:dyDescent="0.15">
      <c r="E257" s="22"/>
      <c r="F257" s="20"/>
      <c r="G257" s="8"/>
    </row>
    <row r="258" spans="2:7" ht="13.25" customHeight="1" x14ac:dyDescent="0.15">
      <c r="B258" s="2"/>
      <c r="E258" s="22"/>
      <c r="F258" s="20"/>
      <c r="G258" s="21"/>
    </row>
    <row r="259" spans="2:7" ht="13.25" customHeight="1" x14ac:dyDescent="0.15">
      <c r="B259" s="2"/>
      <c r="E259" s="23"/>
    </row>
    <row r="260" spans="2:7" ht="13.25" customHeight="1" x14ac:dyDescent="0.15">
      <c r="B260" s="2"/>
      <c r="E260" s="22"/>
    </row>
    <row r="261" spans="2:7" ht="13.25" customHeight="1" x14ac:dyDescent="0.15">
      <c r="B261" s="2"/>
    </row>
    <row r="262" spans="2:7" ht="13.25" customHeight="1" x14ac:dyDescent="0.15">
      <c r="B262" s="2"/>
      <c r="F262" s="20"/>
    </row>
    <row r="263" spans="2:7" ht="13.25" customHeight="1" x14ac:dyDescent="0.15">
      <c r="B263" s="2"/>
    </row>
    <row r="264" spans="2:7" ht="13.25" customHeight="1" x14ac:dyDescent="0.15">
      <c r="B264" s="2"/>
      <c r="F264" s="20"/>
      <c r="G264" s="8"/>
    </row>
    <row r="265" spans="2:7" ht="13.25" customHeight="1" x14ac:dyDescent="0.15">
      <c r="B265" s="2"/>
      <c r="F265" s="20"/>
      <c r="G265" s="21"/>
    </row>
    <row r="266" spans="2:7" ht="13.25" customHeight="1" x14ac:dyDescent="0.15">
      <c r="B266" s="2"/>
      <c r="F266" s="21"/>
      <c r="G266" s="21"/>
    </row>
    <row r="267" spans="2:7" ht="13.25" customHeight="1" x14ac:dyDescent="0.15">
      <c r="B267" s="2"/>
      <c r="F267" s="8"/>
      <c r="G267" s="8"/>
    </row>
    <row r="268" spans="2:7" ht="13.25" customHeight="1" x14ac:dyDescent="0.15">
      <c r="B268" s="2"/>
      <c r="F268" s="20"/>
      <c r="G268" s="8"/>
    </row>
    <row r="269" spans="2:7" ht="13.25" customHeight="1" x14ac:dyDescent="0.15">
      <c r="F269" s="21"/>
      <c r="G269" s="20"/>
    </row>
    <row r="271" spans="2:7" ht="13.25" customHeight="1" x14ac:dyDescent="0.15">
      <c r="F271" s="21"/>
      <c r="G271" s="21"/>
    </row>
    <row r="1931" spans="2:11" ht="13.25" customHeight="1" x14ac:dyDescent="0.15">
      <c r="B1931" s="2" t="s">
        <v>59</v>
      </c>
      <c r="C1931" s="9"/>
      <c r="D1931" s="9"/>
      <c r="E1931" s="10" t="s">
        <v>60</v>
      </c>
      <c r="F1931" s="3" t="s">
        <v>61</v>
      </c>
      <c r="G1931" s="3" t="s">
        <v>62</v>
      </c>
      <c r="H1931" s="17"/>
      <c r="I1931" s="17"/>
      <c r="J1931" s="17"/>
      <c r="K1931" s="11"/>
    </row>
    <row r="1932" spans="2:11" ht="13.25" customHeight="1" x14ac:dyDescent="0.15">
      <c r="B1932" s="2" t="s">
        <v>59</v>
      </c>
      <c r="C1932" s="9"/>
      <c r="D1932" s="9"/>
      <c r="E1932" s="10" t="s">
        <v>60</v>
      </c>
      <c r="F1932" s="3" t="s">
        <v>61</v>
      </c>
      <c r="G1932" s="3" t="s">
        <v>62</v>
      </c>
      <c r="H1932" s="17"/>
      <c r="I1932" s="17"/>
      <c r="J1932" s="17"/>
      <c r="K1932" s="11"/>
    </row>
  </sheetData>
  <phoneticPr fontId="0" type="noConversion"/>
  <pageMargins left="0.25" right="0.25" top="1" bottom="1" header="0.5" footer="0.5"/>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vdw3a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c:creator>
  <cp:lastModifiedBy>Microsoft Office User</cp:lastModifiedBy>
  <cp:lastPrinted>2004-03-05T19:48:19Z</cp:lastPrinted>
  <dcterms:created xsi:type="dcterms:W3CDTF">1999-02-27T21:48:50Z</dcterms:created>
  <dcterms:modified xsi:type="dcterms:W3CDTF">2018-08-26T15:22:58Z</dcterms:modified>
</cp:coreProperties>
</file>